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Eigene Paper\PolyDis\"/>
    </mc:Choice>
  </mc:AlternateContent>
  <bookViews>
    <workbookView xWindow="0" yWindow="0" windowWidth="19200" windowHeight="11460"/>
  </bookViews>
  <sheets>
    <sheet name="INFO" sheetId="14" r:id="rId1"/>
    <sheet name="tetrahedron" sheetId="5" r:id="rId2"/>
    <sheet name="hexahedron" sheetId="6" r:id="rId3"/>
    <sheet name="octahedron" sheetId="1" r:id="rId4"/>
    <sheet name="icosahedron" sheetId="7" r:id="rId5"/>
    <sheet name="cuboctahedron" sheetId="3" r:id="rId6"/>
    <sheet name="dodecadeltahedron" sheetId="11" r:id="rId7"/>
    <sheet name="dodecadeltahedron2" sheetId="12" r:id="rId8"/>
    <sheet name="trig. prism" sheetId="8" r:id="rId9"/>
    <sheet name="trig. antiprism" sheetId="9" r:id="rId10"/>
    <sheet name="tetr. prism" sheetId="13" r:id="rId11"/>
    <sheet name="tetr. antiprism" sheetId="15" r:id="rId12"/>
    <sheet name="hex. prism" sheetId="10" r:id="rId13"/>
  </sheets>
  <definedNames>
    <definedName name="solver_adj" localSheetId="5" hidden="1">cuboctahedron!$I$28:$I$30</definedName>
    <definedName name="solver_adj" localSheetId="6" hidden="1">dodecadeltahedron!$I$24:$I$26</definedName>
    <definedName name="solver_adj" localSheetId="7" hidden="1">dodecadeltahedron2!$C$73</definedName>
    <definedName name="solver_adj" localSheetId="12" hidden="1">'hex. prism'!$I$28:$I$31</definedName>
    <definedName name="solver_adj" localSheetId="2" hidden="1">hexahedron!$I$24:$I$26</definedName>
    <definedName name="solver_adj" localSheetId="4" hidden="1">icosahedron!$I$28:$I$30</definedName>
    <definedName name="solver_adj" localSheetId="3" hidden="1">octahedron!$I$22:$I$24</definedName>
    <definedName name="solver_adj" localSheetId="11" hidden="1">'tetr. antiprism'!$I$25:$I$28</definedName>
    <definedName name="solver_adj" localSheetId="10" hidden="1">'tetr. prism'!$I$25:$I$28</definedName>
    <definedName name="solver_adj" localSheetId="1" hidden="1">tetrahedron!$I$20:$I$22</definedName>
    <definedName name="solver_adj" localSheetId="9" hidden="1">'trig. antiprism'!$I$23:$I$26</definedName>
    <definedName name="solver_adj" localSheetId="8" hidden="1">'trig. prism'!$I$23:$I$26</definedName>
    <definedName name="solver_cvg" localSheetId="5" hidden="1">0.0001</definedName>
    <definedName name="solver_cvg" localSheetId="6" hidden="1">0.0001</definedName>
    <definedName name="solver_cvg" localSheetId="7" hidden="1">0.0001</definedName>
    <definedName name="solver_cvg" localSheetId="12" hidden="1">0.0001</definedName>
    <definedName name="solver_cvg" localSheetId="2" hidden="1">0.0001</definedName>
    <definedName name="solver_cvg" localSheetId="4" hidden="1">0.0001</definedName>
    <definedName name="solver_cvg" localSheetId="3" hidden="1">0.0001</definedName>
    <definedName name="solver_cvg" localSheetId="11" hidden="1">0.0001</definedName>
    <definedName name="solver_cvg" localSheetId="10" hidden="1">0.0001</definedName>
    <definedName name="solver_cvg" localSheetId="1" hidden="1">0.0001</definedName>
    <definedName name="solver_cvg" localSheetId="9" hidden="1">0.0001</definedName>
    <definedName name="solver_cvg" localSheetId="8" hidden="1">0.0001</definedName>
    <definedName name="solver_drv" localSheetId="5" hidden="1">1</definedName>
    <definedName name="solver_drv" localSheetId="6" hidden="1">1</definedName>
    <definedName name="solver_drv" localSheetId="7" hidden="1">1</definedName>
    <definedName name="solver_drv" localSheetId="12" hidden="1">1</definedName>
    <definedName name="solver_drv" localSheetId="2" hidden="1">1</definedName>
    <definedName name="solver_drv" localSheetId="4" hidden="1">1</definedName>
    <definedName name="solver_drv" localSheetId="3" hidden="1">1</definedName>
    <definedName name="solver_drv" localSheetId="11" hidden="1">1</definedName>
    <definedName name="solver_drv" localSheetId="10" hidden="1">1</definedName>
    <definedName name="solver_drv" localSheetId="1" hidden="1">1</definedName>
    <definedName name="solver_drv" localSheetId="9" hidden="1">1</definedName>
    <definedName name="solver_drv" localSheetId="8" hidden="1">1</definedName>
    <definedName name="solver_eng" localSheetId="5" hidden="1">1</definedName>
    <definedName name="solver_eng" localSheetId="6" hidden="1">1</definedName>
    <definedName name="solver_eng" localSheetId="7" hidden="1">1</definedName>
    <definedName name="solver_eng" localSheetId="12" hidden="1">1</definedName>
    <definedName name="solver_eng" localSheetId="2" hidden="1">1</definedName>
    <definedName name="solver_eng" localSheetId="4" hidden="1">1</definedName>
    <definedName name="solver_eng" localSheetId="3" hidden="1">1</definedName>
    <definedName name="solver_eng" localSheetId="11" hidden="1">1</definedName>
    <definedName name="solver_eng" localSheetId="10" hidden="1">1</definedName>
    <definedName name="solver_eng" localSheetId="1" hidden="1">1</definedName>
    <definedName name="solver_eng" localSheetId="9" hidden="1">1</definedName>
    <definedName name="solver_eng" localSheetId="8" hidden="1">1</definedName>
    <definedName name="solver_est" localSheetId="5" hidden="1">1</definedName>
    <definedName name="solver_est" localSheetId="6" hidden="1">1</definedName>
    <definedName name="solver_est" localSheetId="7" hidden="1">1</definedName>
    <definedName name="solver_est" localSheetId="12" hidden="1">1</definedName>
    <definedName name="solver_est" localSheetId="2" hidden="1">1</definedName>
    <definedName name="solver_est" localSheetId="4" hidden="1">1</definedName>
    <definedName name="solver_est" localSheetId="3" hidden="1">1</definedName>
    <definedName name="solver_est" localSheetId="11" hidden="1">1</definedName>
    <definedName name="solver_est" localSheetId="10" hidden="1">1</definedName>
    <definedName name="solver_est" localSheetId="1" hidden="1">1</definedName>
    <definedName name="solver_est" localSheetId="9" hidden="1">1</definedName>
    <definedName name="solver_est" localSheetId="8" hidden="1">1</definedName>
    <definedName name="solver_itr" localSheetId="5" hidden="1">2147483647</definedName>
    <definedName name="solver_itr" localSheetId="6" hidden="1">2147483647</definedName>
    <definedName name="solver_itr" localSheetId="7" hidden="1">2147483647</definedName>
    <definedName name="solver_itr" localSheetId="12" hidden="1">2147483647</definedName>
    <definedName name="solver_itr" localSheetId="2" hidden="1">2147483647</definedName>
    <definedName name="solver_itr" localSheetId="4" hidden="1">2147483647</definedName>
    <definedName name="solver_itr" localSheetId="3" hidden="1">2147483647</definedName>
    <definedName name="solver_itr" localSheetId="11" hidden="1">2147483647</definedName>
    <definedName name="solver_itr" localSheetId="10" hidden="1">2147483647</definedName>
    <definedName name="solver_itr" localSheetId="1" hidden="1">2147483647</definedName>
    <definedName name="solver_itr" localSheetId="9" hidden="1">2147483647</definedName>
    <definedName name="solver_itr" localSheetId="8" hidden="1">2147483647</definedName>
    <definedName name="solver_mip" localSheetId="5" hidden="1">2147483647</definedName>
    <definedName name="solver_mip" localSheetId="6" hidden="1">2147483647</definedName>
    <definedName name="solver_mip" localSheetId="7" hidden="1">2147483647</definedName>
    <definedName name="solver_mip" localSheetId="12" hidden="1">2147483647</definedName>
    <definedName name="solver_mip" localSheetId="2" hidden="1">2147483647</definedName>
    <definedName name="solver_mip" localSheetId="4" hidden="1">2147483647</definedName>
    <definedName name="solver_mip" localSheetId="3" hidden="1">2147483647</definedName>
    <definedName name="solver_mip" localSheetId="11" hidden="1">2147483647</definedName>
    <definedName name="solver_mip" localSheetId="10" hidden="1">2147483647</definedName>
    <definedName name="solver_mip" localSheetId="1" hidden="1">2147483647</definedName>
    <definedName name="solver_mip" localSheetId="9" hidden="1">2147483647</definedName>
    <definedName name="solver_mip" localSheetId="8" hidden="1">2147483647</definedName>
    <definedName name="solver_mni" localSheetId="5" hidden="1">30</definedName>
    <definedName name="solver_mni" localSheetId="6" hidden="1">30</definedName>
    <definedName name="solver_mni" localSheetId="7" hidden="1">30</definedName>
    <definedName name="solver_mni" localSheetId="12" hidden="1">30</definedName>
    <definedName name="solver_mni" localSheetId="2" hidden="1">30</definedName>
    <definedName name="solver_mni" localSheetId="4" hidden="1">30</definedName>
    <definedName name="solver_mni" localSheetId="3" hidden="1">30</definedName>
    <definedName name="solver_mni" localSheetId="11" hidden="1">30</definedName>
    <definedName name="solver_mni" localSheetId="10" hidden="1">30</definedName>
    <definedName name="solver_mni" localSheetId="1" hidden="1">30</definedName>
    <definedName name="solver_mni" localSheetId="9" hidden="1">30</definedName>
    <definedName name="solver_mni" localSheetId="8" hidden="1">30</definedName>
    <definedName name="solver_mrt" localSheetId="5" hidden="1">0.075</definedName>
    <definedName name="solver_mrt" localSheetId="6" hidden="1">0.075</definedName>
    <definedName name="solver_mrt" localSheetId="7" hidden="1">0.075</definedName>
    <definedName name="solver_mrt" localSheetId="12" hidden="1">0.075</definedName>
    <definedName name="solver_mrt" localSheetId="2" hidden="1">0.075</definedName>
    <definedName name="solver_mrt" localSheetId="4" hidden="1">0.075</definedName>
    <definedName name="solver_mrt" localSheetId="3" hidden="1">0.075</definedName>
    <definedName name="solver_mrt" localSheetId="11" hidden="1">0.075</definedName>
    <definedName name="solver_mrt" localSheetId="10" hidden="1">0.075</definedName>
    <definedName name="solver_mrt" localSheetId="1" hidden="1">0.075</definedName>
    <definedName name="solver_mrt" localSheetId="9" hidden="1">0.075</definedName>
    <definedName name="solver_mrt" localSheetId="8" hidden="1">0.075</definedName>
    <definedName name="solver_msl" localSheetId="5" hidden="1">2</definedName>
    <definedName name="solver_msl" localSheetId="6" hidden="1">2</definedName>
    <definedName name="solver_msl" localSheetId="7" hidden="1">2</definedName>
    <definedName name="solver_msl" localSheetId="12" hidden="1">2</definedName>
    <definedName name="solver_msl" localSheetId="2" hidden="1">2</definedName>
    <definedName name="solver_msl" localSheetId="4" hidden="1">2</definedName>
    <definedName name="solver_msl" localSheetId="3" hidden="1">2</definedName>
    <definedName name="solver_msl" localSheetId="11" hidden="1">2</definedName>
    <definedName name="solver_msl" localSheetId="10" hidden="1">2</definedName>
    <definedName name="solver_msl" localSheetId="1" hidden="1">2</definedName>
    <definedName name="solver_msl" localSheetId="9" hidden="1">2</definedName>
    <definedName name="solver_msl" localSheetId="8" hidden="1">2</definedName>
    <definedName name="solver_neg" localSheetId="5" hidden="1">1</definedName>
    <definedName name="solver_neg" localSheetId="6" hidden="1">1</definedName>
    <definedName name="solver_neg" localSheetId="7" hidden="1">1</definedName>
    <definedName name="solver_neg" localSheetId="12" hidden="1">1</definedName>
    <definedName name="solver_neg" localSheetId="2" hidden="1">1</definedName>
    <definedName name="solver_neg" localSheetId="4" hidden="1">1</definedName>
    <definedName name="solver_neg" localSheetId="3" hidden="1">1</definedName>
    <definedName name="solver_neg" localSheetId="11" hidden="1">1</definedName>
    <definedName name="solver_neg" localSheetId="10" hidden="1">1</definedName>
    <definedName name="solver_neg" localSheetId="1" hidden="1">1</definedName>
    <definedName name="solver_neg" localSheetId="9" hidden="1">1</definedName>
    <definedName name="solver_neg" localSheetId="8" hidden="1">1</definedName>
    <definedName name="solver_nod" localSheetId="5" hidden="1">2147483647</definedName>
    <definedName name="solver_nod" localSheetId="6" hidden="1">2147483647</definedName>
    <definedName name="solver_nod" localSheetId="7" hidden="1">2147483647</definedName>
    <definedName name="solver_nod" localSheetId="12" hidden="1">2147483647</definedName>
    <definedName name="solver_nod" localSheetId="2" hidden="1">2147483647</definedName>
    <definedName name="solver_nod" localSheetId="4" hidden="1">2147483647</definedName>
    <definedName name="solver_nod" localSheetId="3" hidden="1">2147483647</definedName>
    <definedName name="solver_nod" localSheetId="11" hidden="1">2147483647</definedName>
    <definedName name="solver_nod" localSheetId="10" hidden="1">2147483647</definedName>
    <definedName name="solver_nod" localSheetId="1" hidden="1">2147483647</definedName>
    <definedName name="solver_nod" localSheetId="9" hidden="1">2147483647</definedName>
    <definedName name="solver_nod" localSheetId="8" hidden="1">2147483647</definedName>
    <definedName name="solver_num" localSheetId="5" hidden="1">0</definedName>
    <definedName name="solver_num" localSheetId="6" hidden="1">0</definedName>
    <definedName name="solver_num" localSheetId="7" hidden="1">0</definedName>
    <definedName name="solver_num" localSheetId="12" hidden="1">0</definedName>
    <definedName name="solver_num" localSheetId="2" hidden="1">0</definedName>
    <definedName name="solver_num" localSheetId="4" hidden="1">0</definedName>
    <definedName name="solver_num" localSheetId="3" hidden="1">0</definedName>
    <definedName name="solver_num" localSheetId="11" hidden="1">0</definedName>
    <definedName name="solver_num" localSheetId="10" hidden="1">0</definedName>
    <definedName name="solver_num" localSheetId="1" hidden="1">0</definedName>
    <definedName name="solver_num" localSheetId="9" hidden="1">0</definedName>
    <definedName name="solver_num" localSheetId="8" hidden="1">0</definedName>
    <definedName name="solver_nwt" localSheetId="5" hidden="1">1</definedName>
    <definedName name="solver_nwt" localSheetId="6" hidden="1">1</definedName>
    <definedName name="solver_nwt" localSheetId="7" hidden="1">1</definedName>
    <definedName name="solver_nwt" localSheetId="12" hidden="1">1</definedName>
    <definedName name="solver_nwt" localSheetId="2" hidden="1">1</definedName>
    <definedName name="solver_nwt" localSheetId="4" hidden="1">1</definedName>
    <definedName name="solver_nwt" localSheetId="3" hidden="1">1</definedName>
    <definedName name="solver_nwt" localSheetId="11" hidden="1">1</definedName>
    <definedName name="solver_nwt" localSheetId="10" hidden="1">1</definedName>
    <definedName name="solver_nwt" localSheetId="1" hidden="1">1</definedName>
    <definedName name="solver_nwt" localSheetId="9" hidden="1">1</definedName>
    <definedName name="solver_nwt" localSheetId="8" hidden="1">1</definedName>
    <definedName name="solver_opt" localSheetId="5" hidden="1">cuboctahedron!$E$26</definedName>
    <definedName name="solver_opt" localSheetId="6" hidden="1">dodecadeltahedron!$E$22</definedName>
    <definedName name="solver_opt" localSheetId="7" hidden="1">dodecadeltahedron2!$F$73</definedName>
    <definedName name="solver_opt" localSheetId="12" hidden="1">'hex. prism'!$E$26</definedName>
    <definedName name="solver_opt" localSheetId="2" hidden="1">hexahedron!$E$22</definedName>
    <definedName name="solver_opt" localSheetId="4" hidden="1">icosahedron!$E$26</definedName>
    <definedName name="solver_opt" localSheetId="3" hidden="1">octahedron!$E$20</definedName>
    <definedName name="solver_opt" localSheetId="11" hidden="1">'tetr. antiprism'!$E$22</definedName>
    <definedName name="solver_opt" localSheetId="10" hidden="1">'tetr. prism'!$E$22</definedName>
    <definedName name="solver_opt" localSheetId="1" hidden="1">tetrahedron!$E$18</definedName>
    <definedName name="solver_opt" localSheetId="9" hidden="1">'trig. antiprism'!$E$20</definedName>
    <definedName name="solver_opt" localSheetId="8" hidden="1">'trig. prism'!$E$20</definedName>
    <definedName name="solver_pre" localSheetId="5" hidden="1">0.000001</definedName>
    <definedName name="solver_pre" localSheetId="6" hidden="1">0.000001</definedName>
    <definedName name="solver_pre" localSheetId="7" hidden="1">0.000001</definedName>
    <definedName name="solver_pre" localSheetId="12" hidden="1">0.000001</definedName>
    <definedName name="solver_pre" localSheetId="2" hidden="1">0.000001</definedName>
    <definedName name="solver_pre" localSheetId="4" hidden="1">0.000001</definedName>
    <definedName name="solver_pre" localSheetId="3" hidden="1">0.000001</definedName>
    <definedName name="solver_pre" localSheetId="11" hidden="1">0.000001</definedName>
    <definedName name="solver_pre" localSheetId="10" hidden="1">0.000001</definedName>
    <definedName name="solver_pre" localSheetId="1" hidden="1">0.000001</definedName>
    <definedName name="solver_pre" localSheetId="9" hidden="1">0.000001</definedName>
    <definedName name="solver_pre" localSheetId="8" hidden="1">0.000001</definedName>
    <definedName name="solver_rbv" localSheetId="5" hidden="1">1</definedName>
    <definedName name="solver_rbv" localSheetId="6" hidden="1">1</definedName>
    <definedName name="solver_rbv" localSheetId="7" hidden="1">1</definedName>
    <definedName name="solver_rbv" localSheetId="12" hidden="1">1</definedName>
    <definedName name="solver_rbv" localSheetId="2" hidden="1">1</definedName>
    <definedName name="solver_rbv" localSheetId="4" hidden="1">1</definedName>
    <definedName name="solver_rbv" localSheetId="3" hidden="1">1</definedName>
    <definedName name="solver_rbv" localSheetId="11" hidden="1">1</definedName>
    <definedName name="solver_rbv" localSheetId="10" hidden="1">1</definedName>
    <definedName name="solver_rbv" localSheetId="1" hidden="1">1</definedName>
    <definedName name="solver_rbv" localSheetId="9" hidden="1">1</definedName>
    <definedName name="solver_rbv" localSheetId="8" hidden="1">1</definedName>
    <definedName name="solver_rlx" localSheetId="5" hidden="1">2</definedName>
    <definedName name="solver_rlx" localSheetId="6" hidden="1">2</definedName>
    <definedName name="solver_rlx" localSheetId="7" hidden="1">2</definedName>
    <definedName name="solver_rlx" localSheetId="12" hidden="1">2</definedName>
    <definedName name="solver_rlx" localSheetId="2" hidden="1">2</definedName>
    <definedName name="solver_rlx" localSheetId="4" hidden="1">2</definedName>
    <definedName name="solver_rlx" localSheetId="3" hidden="1">2</definedName>
    <definedName name="solver_rlx" localSheetId="11" hidden="1">2</definedName>
    <definedName name="solver_rlx" localSheetId="10" hidden="1">2</definedName>
    <definedName name="solver_rlx" localSheetId="1" hidden="1">2</definedName>
    <definedName name="solver_rlx" localSheetId="9" hidden="1">2</definedName>
    <definedName name="solver_rlx" localSheetId="8" hidden="1">2</definedName>
    <definedName name="solver_rsd" localSheetId="5" hidden="1">0</definedName>
    <definedName name="solver_rsd" localSheetId="6" hidden="1">0</definedName>
    <definedName name="solver_rsd" localSheetId="7" hidden="1">0</definedName>
    <definedName name="solver_rsd" localSheetId="12" hidden="1">0</definedName>
    <definedName name="solver_rsd" localSheetId="2" hidden="1">0</definedName>
    <definedName name="solver_rsd" localSheetId="4" hidden="1">0</definedName>
    <definedName name="solver_rsd" localSheetId="3" hidden="1">0</definedName>
    <definedName name="solver_rsd" localSheetId="11" hidden="1">0</definedName>
    <definedName name="solver_rsd" localSheetId="10" hidden="1">0</definedName>
    <definedName name="solver_rsd" localSheetId="1" hidden="1">0</definedName>
    <definedName name="solver_rsd" localSheetId="9" hidden="1">0</definedName>
    <definedName name="solver_rsd" localSheetId="8" hidden="1">0</definedName>
    <definedName name="solver_scl" localSheetId="5" hidden="1">1</definedName>
    <definedName name="solver_scl" localSheetId="6" hidden="1">1</definedName>
    <definedName name="solver_scl" localSheetId="7" hidden="1">1</definedName>
    <definedName name="solver_scl" localSheetId="12" hidden="1">1</definedName>
    <definedName name="solver_scl" localSheetId="2" hidden="1">1</definedName>
    <definedName name="solver_scl" localSheetId="4" hidden="1">1</definedName>
    <definedName name="solver_scl" localSheetId="3" hidden="1">1</definedName>
    <definedName name="solver_scl" localSheetId="11" hidden="1">1</definedName>
    <definedName name="solver_scl" localSheetId="10" hidden="1">1</definedName>
    <definedName name="solver_scl" localSheetId="1" hidden="1">1</definedName>
    <definedName name="solver_scl" localSheetId="9" hidden="1">1</definedName>
    <definedName name="solver_scl" localSheetId="8" hidden="1">1</definedName>
    <definedName name="solver_sho" localSheetId="5" hidden="1">2</definedName>
    <definedName name="solver_sho" localSheetId="6" hidden="1">2</definedName>
    <definedName name="solver_sho" localSheetId="7" hidden="1">2</definedName>
    <definedName name="solver_sho" localSheetId="12" hidden="1">2</definedName>
    <definedName name="solver_sho" localSheetId="2" hidden="1">2</definedName>
    <definedName name="solver_sho" localSheetId="4" hidden="1">2</definedName>
    <definedName name="solver_sho" localSheetId="3" hidden="1">2</definedName>
    <definedName name="solver_sho" localSheetId="11" hidden="1">2</definedName>
    <definedName name="solver_sho" localSheetId="10" hidden="1">2</definedName>
    <definedName name="solver_sho" localSheetId="1" hidden="1">2</definedName>
    <definedName name="solver_sho" localSheetId="9" hidden="1">2</definedName>
    <definedName name="solver_sho" localSheetId="8" hidden="1">2</definedName>
    <definedName name="solver_ssz" localSheetId="5" hidden="1">100</definedName>
    <definedName name="solver_ssz" localSheetId="6" hidden="1">100</definedName>
    <definedName name="solver_ssz" localSheetId="7" hidden="1">100</definedName>
    <definedName name="solver_ssz" localSheetId="12" hidden="1">100</definedName>
    <definedName name="solver_ssz" localSheetId="2" hidden="1">100</definedName>
    <definedName name="solver_ssz" localSheetId="4" hidden="1">100</definedName>
    <definedName name="solver_ssz" localSheetId="3" hidden="1">100</definedName>
    <definedName name="solver_ssz" localSheetId="11" hidden="1">100</definedName>
    <definedName name="solver_ssz" localSheetId="10" hidden="1">100</definedName>
    <definedName name="solver_ssz" localSheetId="1" hidden="1">100</definedName>
    <definedName name="solver_ssz" localSheetId="9" hidden="1">100</definedName>
    <definedName name="solver_ssz" localSheetId="8" hidden="1">100</definedName>
    <definedName name="solver_tim" localSheetId="5" hidden="1">2147483647</definedName>
    <definedName name="solver_tim" localSheetId="6" hidden="1">2147483647</definedName>
    <definedName name="solver_tim" localSheetId="7" hidden="1">2147483647</definedName>
    <definedName name="solver_tim" localSheetId="12" hidden="1">2147483647</definedName>
    <definedName name="solver_tim" localSheetId="2" hidden="1">2147483647</definedName>
    <definedName name="solver_tim" localSheetId="4" hidden="1">2147483647</definedName>
    <definedName name="solver_tim" localSheetId="3" hidden="1">2147483647</definedName>
    <definedName name="solver_tim" localSheetId="11" hidden="1">2147483647</definedName>
    <definedName name="solver_tim" localSheetId="10" hidden="1">2147483647</definedName>
    <definedName name="solver_tim" localSheetId="1" hidden="1">2147483647</definedName>
    <definedName name="solver_tim" localSheetId="9" hidden="1">2147483647</definedName>
    <definedName name="solver_tim" localSheetId="8" hidden="1">2147483647</definedName>
    <definedName name="solver_tol" localSheetId="5" hidden="1">0.01</definedName>
    <definedName name="solver_tol" localSheetId="6" hidden="1">0.01</definedName>
    <definedName name="solver_tol" localSheetId="7" hidden="1">0.01</definedName>
    <definedName name="solver_tol" localSheetId="12" hidden="1">0.01</definedName>
    <definedName name="solver_tol" localSheetId="2" hidden="1">0.01</definedName>
    <definedName name="solver_tol" localSheetId="4" hidden="1">0.01</definedName>
    <definedName name="solver_tol" localSheetId="3" hidden="1">0.01</definedName>
    <definedName name="solver_tol" localSheetId="11" hidden="1">0.01</definedName>
    <definedName name="solver_tol" localSheetId="10" hidden="1">0.01</definedName>
    <definedName name="solver_tol" localSheetId="1" hidden="1">0.01</definedName>
    <definedName name="solver_tol" localSheetId="9" hidden="1">0.01</definedName>
    <definedName name="solver_tol" localSheetId="8" hidden="1">0.01</definedName>
    <definedName name="solver_typ" localSheetId="5" hidden="1">2</definedName>
    <definedName name="solver_typ" localSheetId="6" hidden="1">2</definedName>
    <definedName name="solver_typ" localSheetId="7" hidden="1">3</definedName>
    <definedName name="solver_typ" localSheetId="12" hidden="1">2</definedName>
    <definedName name="solver_typ" localSheetId="2" hidden="1">2</definedName>
    <definedName name="solver_typ" localSheetId="4" hidden="1">2</definedName>
    <definedName name="solver_typ" localSheetId="3" hidden="1">2</definedName>
    <definedName name="solver_typ" localSheetId="11" hidden="1">2</definedName>
    <definedName name="solver_typ" localSheetId="10" hidden="1">2</definedName>
    <definedName name="solver_typ" localSheetId="1" hidden="1">2</definedName>
    <definedName name="solver_typ" localSheetId="9" hidden="1">2</definedName>
    <definedName name="solver_typ" localSheetId="8" hidden="1">2</definedName>
    <definedName name="solver_val" localSheetId="5" hidden="1">60</definedName>
    <definedName name="solver_val" localSheetId="6" hidden="1">0</definedName>
    <definedName name="solver_val" localSheetId="7" hidden="1">0</definedName>
    <definedName name="solver_val" localSheetId="12" hidden="1">0</definedName>
    <definedName name="solver_val" localSheetId="2" hidden="1">0</definedName>
    <definedName name="solver_val" localSheetId="4" hidden="1">72</definedName>
    <definedName name="solver_val" localSheetId="3" hidden="1">0</definedName>
    <definedName name="solver_val" localSheetId="11" hidden="1">0</definedName>
    <definedName name="solver_val" localSheetId="10" hidden="1">0</definedName>
    <definedName name="solver_val" localSheetId="1" hidden="1">0</definedName>
    <definedName name="solver_val" localSheetId="9" hidden="1">0</definedName>
    <definedName name="solver_val" localSheetId="8" hidden="1">0</definedName>
    <definedName name="solver_ver" localSheetId="5" hidden="1">3</definedName>
    <definedName name="solver_ver" localSheetId="6" hidden="1">3</definedName>
    <definedName name="solver_ver" localSheetId="7" hidden="1">3</definedName>
    <definedName name="solver_ver" localSheetId="12" hidden="1">3</definedName>
    <definedName name="solver_ver" localSheetId="2" hidden="1">3</definedName>
    <definedName name="solver_ver" localSheetId="4" hidden="1">3</definedName>
    <definedName name="solver_ver" localSheetId="3" hidden="1">3</definedName>
    <definedName name="solver_ver" localSheetId="11" hidden="1">3</definedName>
    <definedName name="solver_ver" localSheetId="10" hidden="1">3</definedName>
    <definedName name="solver_ver" localSheetId="1" hidden="1">3</definedName>
    <definedName name="solver_ver" localSheetId="9" hidden="1">3</definedName>
    <definedName name="solver_ver" localSheetId="8" hidden="1">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9" i="15" l="1"/>
  <c r="C89" i="15"/>
  <c r="E106" i="10"/>
  <c r="C106" i="10"/>
  <c r="E99" i="10"/>
  <c r="C99" i="10"/>
  <c r="E80" i="15"/>
  <c r="E92" i="15"/>
  <c r="C92" i="15"/>
  <c r="C80" i="15"/>
  <c r="C84" i="13"/>
  <c r="C89" i="13"/>
  <c r="E89" i="13"/>
  <c r="C80" i="13"/>
  <c r="E80" i="13"/>
  <c r="E84" i="13"/>
  <c r="E80" i="9"/>
  <c r="C73" i="9" s="1"/>
  <c r="C80" i="9"/>
  <c r="C58" i="9"/>
  <c r="E70" i="9"/>
  <c r="C70" i="9"/>
  <c r="C77" i="8"/>
  <c r="C71" i="8"/>
  <c r="C73" i="8"/>
  <c r="E77" i="8"/>
  <c r="E73" i="8"/>
  <c r="E70" i="8"/>
  <c r="C70" i="8"/>
  <c r="E101" i="11"/>
  <c r="D101" i="11"/>
  <c r="D88" i="11"/>
  <c r="C101" i="11"/>
  <c r="C95" i="11"/>
  <c r="C94" i="11"/>
  <c r="C91" i="11"/>
  <c r="C90" i="11"/>
  <c r="C79" i="11"/>
  <c r="C93" i="11"/>
  <c r="C92" i="11"/>
  <c r="C89" i="11"/>
  <c r="C88" i="11"/>
  <c r="J88" i="11"/>
  <c r="C97" i="11"/>
  <c r="I79" i="11" l="1"/>
  <c r="C77" i="11"/>
  <c r="C76" i="11"/>
  <c r="D76" i="11" s="1"/>
  <c r="F73" i="12"/>
  <c r="J82" i="12"/>
  <c r="J81" i="12"/>
  <c r="I80" i="12"/>
  <c r="I79" i="12"/>
  <c r="B42" i="11"/>
  <c r="K84" i="11"/>
  <c r="K83" i="11"/>
  <c r="K82" i="11"/>
  <c r="K81" i="11"/>
  <c r="K80" i="11"/>
  <c r="K79" i="11"/>
  <c r="K78" i="11"/>
  <c r="K77" i="11"/>
  <c r="J82" i="11"/>
  <c r="J81" i="11"/>
  <c r="I80" i="11"/>
  <c r="D60" i="11"/>
  <c r="D49" i="11"/>
  <c r="C52" i="11"/>
  <c r="B13" i="11"/>
  <c r="C62" i="11"/>
  <c r="D11" i="11"/>
  <c r="D12" i="11"/>
  <c r="D15" i="11"/>
  <c r="D16" i="11"/>
  <c r="D14" i="11"/>
  <c r="D18" i="11"/>
  <c r="F73" i="11"/>
  <c r="C71" i="11"/>
  <c r="C90" i="3"/>
  <c r="C91" i="3"/>
  <c r="C98" i="3"/>
  <c r="C100" i="3"/>
  <c r="C99" i="3"/>
  <c r="C85" i="3"/>
  <c r="C89" i="3"/>
  <c r="H107" i="3"/>
  <c r="H103" i="3"/>
  <c r="G103" i="3" s="1"/>
  <c r="E97" i="3"/>
  <c r="E96" i="3"/>
  <c r="C97" i="3"/>
  <c r="C96" i="3"/>
  <c r="E95" i="3"/>
  <c r="E93" i="3"/>
  <c r="C95" i="3"/>
  <c r="E94" i="3"/>
  <c r="C94" i="3"/>
  <c r="C93" i="3"/>
  <c r="E92" i="3"/>
  <c r="C92" i="3"/>
  <c r="C107" i="7"/>
  <c r="C106" i="7"/>
  <c r="C105" i="7"/>
  <c r="C104" i="7"/>
  <c r="C103" i="7"/>
  <c r="E98" i="7"/>
  <c r="E97" i="7"/>
  <c r="E108" i="7"/>
  <c r="D108" i="7"/>
  <c r="C108" i="7"/>
  <c r="C98" i="7"/>
  <c r="C97" i="7"/>
  <c r="B88" i="7" l="1"/>
  <c r="E90" i="7"/>
  <c r="C65" i="1"/>
  <c r="E63" i="1"/>
  <c r="D63" i="1"/>
  <c r="C63" i="1"/>
  <c r="E64" i="1"/>
  <c r="E66" i="1"/>
  <c r="C66" i="1"/>
  <c r="C64" i="1"/>
  <c r="E62" i="1"/>
  <c r="E61" i="1"/>
  <c r="C62" i="1"/>
  <c r="C61" i="1"/>
  <c r="C82" i="6"/>
  <c r="C81" i="6"/>
  <c r="C72" i="6"/>
  <c r="D72" i="6"/>
  <c r="C79" i="6"/>
  <c r="C78" i="6"/>
  <c r="C70" i="6"/>
  <c r="C68" i="6"/>
  <c r="C59" i="5" l="1"/>
  <c r="H37" i="5"/>
  <c r="E18" i="5"/>
  <c r="H77" i="5"/>
  <c r="B18" i="5"/>
  <c r="C77" i="5"/>
  <c r="C83" i="5"/>
  <c r="C72" i="5"/>
  <c r="C68" i="5"/>
  <c r="D59" i="5"/>
  <c r="C60" i="5"/>
  <c r="D60" i="5"/>
  <c r="C55" i="5"/>
  <c r="C57" i="5"/>
  <c r="C56" i="5"/>
  <c r="C54" i="5"/>
  <c r="E55" i="5"/>
  <c r="E54" i="5"/>
  <c r="B54" i="5"/>
  <c r="C48" i="5"/>
  <c r="H43" i="5"/>
  <c r="K43" i="5"/>
  <c r="C43" i="5"/>
  <c r="C42" i="5"/>
  <c r="C34" i="5"/>
  <c r="I38" i="5"/>
  <c r="I39" i="5"/>
  <c r="H38" i="5"/>
  <c r="I37" i="5"/>
  <c r="I34" i="5"/>
  <c r="G37" i="5"/>
  <c r="H34" i="5"/>
  <c r="I33" i="5"/>
  <c r="L35" i="5"/>
  <c r="G33" i="5"/>
  <c r="E23" i="5" l="1"/>
  <c r="K72" i="12" l="1"/>
  <c r="I52" i="15" l="1"/>
  <c r="I48" i="8"/>
  <c r="I44" i="12"/>
  <c r="I44" i="11"/>
  <c r="I49" i="7"/>
  <c r="I39" i="1"/>
  <c r="I41" i="6"/>
  <c r="C92" i="7" l="1"/>
  <c r="B90" i="7"/>
  <c r="C88" i="7"/>
  <c r="F89" i="7"/>
  <c r="C73" i="6"/>
  <c r="G100" i="6" l="1"/>
  <c r="G101" i="6"/>
  <c r="G102" i="6"/>
  <c r="G103" i="6"/>
  <c r="G104" i="6"/>
  <c r="G105" i="6"/>
  <c r="G106" i="6"/>
  <c r="G99" i="6"/>
  <c r="H60" i="5"/>
  <c r="G99" i="15"/>
  <c r="D92" i="15"/>
  <c r="C98" i="15"/>
  <c r="C77" i="9"/>
  <c r="E23" i="6" l="1"/>
  <c r="E22" i="6"/>
  <c r="B29" i="6"/>
  <c r="B28" i="6"/>
  <c r="B27" i="6"/>
  <c r="B26" i="6"/>
  <c r="B25" i="6"/>
  <c r="B24" i="6"/>
  <c r="B23" i="6"/>
  <c r="B22" i="6"/>
  <c r="B132" i="15" l="1"/>
  <c r="B131" i="15"/>
  <c r="B130" i="15"/>
  <c r="B129" i="15"/>
  <c r="B128" i="15"/>
  <c r="B127" i="15"/>
  <c r="B126" i="15"/>
  <c r="B125" i="15"/>
  <c r="L123" i="15"/>
  <c r="L122" i="15"/>
  <c r="G116" i="15"/>
  <c r="G95" i="15"/>
  <c r="D89" i="15"/>
  <c r="B87" i="15"/>
  <c r="B123" i="15" s="1"/>
  <c r="B142" i="15" s="1"/>
  <c r="B152" i="15" s="1"/>
  <c r="B86" i="15"/>
  <c r="B122" i="15" s="1"/>
  <c r="B141" i="15" s="1"/>
  <c r="B151" i="15" s="1"/>
  <c r="B85" i="15"/>
  <c r="B121" i="15" s="1"/>
  <c r="B140" i="15" s="1"/>
  <c r="B150" i="15" s="1"/>
  <c r="B84" i="15"/>
  <c r="B120" i="15" s="1"/>
  <c r="B139" i="15" s="1"/>
  <c r="B149" i="15" s="1"/>
  <c r="B83" i="15"/>
  <c r="B119" i="15" s="1"/>
  <c r="B138" i="15" s="1"/>
  <c r="B148" i="15" s="1"/>
  <c r="B82" i="15"/>
  <c r="B118" i="15" s="1"/>
  <c r="B137" i="15" s="1"/>
  <c r="B147" i="15" s="1"/>
  <c r="B81" i="15"/>
  <c r="B117" i="15" s="1"/>
  <c r="B136" i="15" s="1"/>
  <c r="B146" i="15" s="1"/>
  <c r="D80" i="15"/>
  <c r="C116" i="15"/>
  <c r="B80" i="15"/>
  <c r="B116" i="15" s="1"/>
  <c r="B135" i="15" s="1"/>
  <c r="B145" i="15" s="1"/>
  <c r="G77" i="15"/>
  <c r="B77" i="15"/>
  <c r="G76" i="15"/>
  <c r="B76" i="15"/>
  <c r="B75" i="15"/>
  <c r="B74" i="15"/>
  <c r="B73" i="15"/>
  <c r="B72" i="15"/>
  <c r="B71" i="15"/>
  <c r="B70" i="15"/>
  <c r="B56" i="15"/>
  <c r="B55" i="15"/>
  <c r="H54" i="15"/>
  <c r="G54" i="15"/>
  <c r="B54" i="15"/>
  <c r="G53" i="15"/>
  <c r="B53" i="15"/>
  <c r="B52" i="15"/>
  <c r="B51" i="15"/>
  <c r="L50" i="15"/>
  <c r="M50" i="15" s="1"/>
  <c r="H50" i="15"/>
  <c r="G50" i="15"/>
  <c r="B50" i="15"/>
  <c r="M49" i="15"/>
  <c r="L49" i="15"/>
  <c r="G49" i="15"/>
  <c r="B49" i="15"/>
  <c r="L48" i="15"/>
  <c r="M48" i="15" s="1"/>
  <c r="G48" i="15"/>
  <c r="G52" i="15" s="1"/>
  <c r="J28" i="15"/>
  <c r="J27" i="15"/>
  <c r="J26" i="15"/>
  <c r="J25" i="15"/>
  <c r="C100" i="15" l="1"/>
  <c r="E100" i="15"/>
  <c r="E98" i="15"/>
  <c r="E99" i="15"/>
  <c r="D98" i="15"/>
  <c r="C99" i="15"/>
  <c r="D99" i="15"/>
  <c r="D100" i="15"/>
  <c r="C112" i="15"/>
  <c r="D94" i="15"/>
  <c r="C94" i="15"/>
  <c r="H48" i="15"/>
  <c r="H49" i="15"/>
  <c r="H53" i="15" s="1"/>
  <c r="I49" i="15"/>
  <c r="D95" i="15"/>
  <c r="I50" i="15"/>
  <c r="I54" i="15" s="1"/>
  <c r="C96" i="15"/>
  <c r="C95" i="15"/>
  <c r="D96" i="15"/>
  <c r="H52" i="15"/>
  <c r="E56" i="15"/>
  <c r="E55" i="15"/>
  <c r="E49" i="15"/>
  <c r="E48" i="15"/>
  <c r="D54" i="15"/>
  <c r="D52" i="15"/>
  <c r="D113" i="15"/>
  <c r="D116" i="15"/>
  <c r="D114" i="15"/>
  <c r="C113" i="15"/>
  <c r="E112" i="15"/>
  <c r="D112" i="15"/>
  <c r="C114" i="15"/>
  <c r="D51" i="15"/>
  <c r="E52" i="15"/>
  <c r="E54" i="15"/>
  <c r="D55" i="15"/>
  <c r="D53" i="15"/>
  <c r="D48" i="15"/>
  <c r="I48" i="15"/>
  <c r="C48" i="15" s="1"/>
  <c r="D49" i="15"/>
  <c r="E50" i="15"/>
  <c r="E113" i="15"/>
  <c r="C53" i="15"/>
  <c r="C56" i="15"/>
  <c r="E116" i="15"/>
  <c r="E114" i="15"/>
  <c r="E95" i="15"/>
  <c r="E94" i="15"/>
  <c r="E96" i="15"/>
  <c r="H80" i="15"/>
  <c r="H116" i="15" s="1"/>
  <c r="E81" i="15" l="1"/>
  <c r="C81" i="15"/>
  <c r="D81" i="15"/>
  <c r="C84" i="15"/>
  <c r="D84" i="15"/>
  <c r="E84" i="15"/>
  <c r="E51" i="15"/>
  <c r="D50" i="15"/>
  <c r="D57" i="15" s="1"/>
  <c r="D144" i="15" s="1"/>
  <c r="E53" i="15"/>
  <c r="D56" i="15"/>
  <c r="I53" i="15"/>
  <c r="C49" i="15"/>
  <c r="C54" i="15"/>
  <c r="C50" i="15"/>
  <c r="C52" i="15"/>
  <c r="E57" i="15"/>
  <c r="E144" i="15" s="1"/>
  <c r="C55" i="15"/>
  <c r="C51" i="15"/>
  <c r="B120" i="13"/>
  <c r="B121" i="13"/>
  <c r="B122" i="13"/>
  <c r="B123" i="13"/>
  <c r="B124" i="13"/>
  <c r="B125" i="13"/>
  <c r="B126" i="13"/>
  <c r="D84" i="13"/>
  <c r="B55" i="13"/>
  <c r="B56" i="13"/>
  <c r="B86" i="13"/>
  <c r="B116" i="13" s="1"/>
  <c r="B135" i="13" s="1"/>
  <c r="B145" i="13" s="1"/>
  <c r="B87" i="13"/>
  <c r="B117" i="13" s="1"/>
  <c r="B136" i="13" s="1"/>
  <c r="B146" i="13" s="1"/>
  <c r="L117" i="13"/>
  <c r="L116" i="13"/>
  <c r="G77" i="13"/>
  <c r="B77" i="13"/>
  <c r="G76" i="13"/>
  <c r="B76" i="13"/>
  <c r="B119" i="13"/>
  <c r="G110" i="13"/>
  <c r="G93" i="13"/>
  <c r="D89" i="13"/>
  <c r="B85" i="13"/>
  <c r="B115" i="13" s="1"/>
  <c r="B134" i="13" s="1"/>
  <c r="B144" i="13" s="1"/>
  <c r="B84" i="13"/>
  <c r="B114" i="13" s="1"/>
  <c r="B133" i="13" s="1"/>
  <c r="B143" i="13" s="1"/>
  <c r="B83" i="13"/>
  <c r="B113" i="13" s="1"/>
  <c r="B132" i="13" s="1"/>
  <c r="B142" i="13" s="1"/>
  <c r="B82" i="13"/>
  <c r="B112" i="13" s="1"/>
  <c r="B131" i="13" s="1"/>
  <c r="B141" i="13" s="1"/>
  <c r="B81" i="13"/>
  <c r="B111" i="13" s="1"/>
  <c r="B130" i="13" s="1"/>
  <c r="B140" i="13" s="1"/>
  <c r="E110" i="13"/>
  <c r="D80" i="13"/>
  <c r="B80" i="13"/>
  <c r="B110" i="13" s="1"/>
  <c r="B129" i="13" s="1"/>
  <c r="B139" i="13" s="1"/>
  <c r="B75" i="13"/>
  <c r="B74" i="13"/>
  <c r="B73" i="13"/>
  <c r="B72" i="13"/>
  <c r="B71" i="13"/>
  <c r="B70" i="13"/>
  <c r="H54" i="13"/>
  <c r="G54" i="13"/>
  <c r="B54" i="13"/>
  <c r="G53" i="13"/>
  <c r="B53" i="13"/>
  <c r="B52" i="13"/>
  <c r="B51" i="13"/>
  <c r="L50" i="13"/>
  <c r="M50" i="13" s="1"/>
  <c r="H50" i="13"/>
  <c r="G50" i="13"/>
  <c r="B50" i="13"/>
  <c r="L49" i="13"/>
  <c r="M49" i="13" s="1"/>
  <c r="I48" i="13" s="1"/>
  <c r="G49" i="13"/>
  <c r="B49" i="13"/>
  <c r="M48" i="13"/>
  <c r="I49" i="13" s="1"/>
  <c r="L48" i="13"/>
  <c r="G48" i="13"/>
  <c r="J28" i="13"/>
  <c r="J27" i="13"/>
  <c r="J26" i="13"/>
  <c r="J25" i="13"/>
  <c r="J80" i="15" l="1"/>
  <c r="K80" i="15" s="1"/>
  <c r="E82" i="15"/>
  <c r="C85" i="15"/>
  <c r="E120" i="15"/>
  <c r="H84" i="15"/>
  <c r="E85" i="15"/>
  <c r="D82" i="15"/>
  <c r="C120" i="15"/>
  <c r="C82" i="15"/>
  <c r="D85" i="15"/>
  <c r="D120" i="15"/>
  <c r="E63" i="15"/>
  <c r="E65" i="15"/>
  <c r="E62" i="15"/>
  <c r="E61" i="15"/>
  <c r="E60" i="15"/>
  <c r="E68" i="15"/>
  <c r="E117" i="15"/>
  <c r="D68" i="15"/>
  <c r="D61" i="15"/>
  <c r="D65" i="15"/>
  <c r="D60" i="15"/>
  <c r="E67" i="15"/>
  <c r="H81" i="15"/>
  <c r="D63" i="15"/>
  <c r="C57" i="15"/>
  <c r="C61" i="15" s="1"/>
  <c r="D64" i="15"/>
  <c r="D66" i="15"/>
  <c r="C117" i="15"/>
  <c r="D117" i="15"/>
  <c r="D62" i="15"/>
  <c r="D67" i="15"/>
  <c r="E64" i="15"/>
  <c r="E66" i="15"/>
  <c r="C49" i="13"/>
  <c r="C52" i="13"/>
  <c r="C55" i="13"/>
  <c r="C54" i="13"/>
  <c r="C48" i="13"/>
  <c r="D93" i="13"/>
  <c r="C94" i="13"/>
  <c r="D94" i="13"/>
  <c r="C93" i="13"/>
  <c r="C92" i="13"/>
  <c r="D92" i="13"/>
  <c r="I50" i="13"/>
  <c r="I52" i="13" s="1"/>
  <c r="D106" i="13"/>
  <c r="H80" i="13"/>
  <c r="H110" i="13" s="1"/>
  <c r="C106" i="13"/>
  <c r="G52" i="13"/>
  <c r="H49" i="13"/>
  <c r="D50" i="13" s="1"/>
  <c r="H48" i="13"/>
  <c r="C50" i="13" s="1"/>
  <c r="E107" i="13"/>
  <c r="E106" i="13"/>
  <c r="C108" i="13"/>
  <c r="C110" i="13"/>
  <c r="E93" i="13"/>
  <c r="E94" i="13"/>
  <c r="C107" i="13"/>
  <c r="D108" i="13"/>
  <c r="D110" i="13"/>
  <c r="E92" i="13"/>
  <c r="D107" i="13"/>
  <c r="E108" i="13"/>
  <c r="J84" i="15" l="1"/>
  <c r="K84" i="15" s="1"/>
  <c r="E121" i="15"/>
  <c r="H120" i="15"/>
  <c r="J81" i="15"/>
  <c r="K81" i="15" s="1"/>
  <c r="E86" i="15"/>
  <c r="H85" i="15"/>
  <c r="D83" i="15"/>
  <c r="C86" i="15"/>
  <c r="C83" i="15"/>
  <c r="C121" i="15"/>
  <c r="D86" i="15"/>
  <c r="E83" i="15"/>
  <c r="D121" i="15"/>
  <c r="C66" i="15"/>
  <c r="H66" i="15" s="1"/>
  <c r="C64" i="15"/>
  <c r="H64" i="15" s="1"/>
  <c r="C63" i="15"/>
  <c r="H63" i="15" s="1"/>
  <c r="H61" i="15"/>
  <c r="C62" i="15"/>
  <c r="C67" i="15"/>
  <c r="H117" i="15"/>
  <c r="J116" i="15"/>
  <c r="K116" i="15" s="1"/>
  <c r="C144" i="15"/>
  <c r="C65" i="15"/>
  <c r="C68" i="15"/>
  <c r="C60" i="15"/>
  <c r="H60" i="15" s="1"/>
  <c r="E27" i="15" s="1"/>
  <c r="E118" i="15"/>
  <c r="D118" i="15"/>
  <c r="C118" i="15"/>
  <c r="H82" i="15"/>
  <c r="D54" i="13"/>
  <c r="D49" i="13"/>
  <c r="D56" i="13"/>
  <c r="C51" i="13"/>
  <c r="C56" i="13"/>
  <c r="D52" i="13"/>
  <c r="D53" i="13"/>
  <c r="D55" i="13"/>
  <c r="C53" i="13"/>
  <c r="D48" i="13"/>
  <c r="D51" i="13"/>
  <c r="E51" i="13"/>
  <c r="E55" i="13"/>
  <c r="E48" i="13"/>
  <c r="E52" i="13"/>
  <c r="E53" i="13"/>
  <c r="E54" i="13"/>
  <c r="E56" i="13"/>
  <c r="D114" i="13"/>
  <c r="C114" i="13"/>
  <c r="E114" i="13"/>
  <c r="E50" i="13"/>
  <c r="E85" i="13"/>
  <c r="E81" i="13"/>
  <c r="C85" i="13"/>
  <c r="C81" i="13"/>
  <c r="D85" i="13"/>
  <c r="D81" i="13"/>
  <c r="H52" i="13"/>
  <c r="I54" i="13"/>
  <c r="E49" i="13"/>
  <c r="H53" i="13"/>
  <c r="I53" i="13"/>
  <c r="C57" i="13" l="1"/>
  <c r="C61" i="13" s="1"/>
  <c r="D57" i="13"/>
  <c r="C122" i="15"/>
  <c r="E122" i="15"/>
  <c r="C87" i="15"/>
  <c r="H121" i="15"/>
  <c r="H86" i="15"/>
  <c r="J121" i="15"/>
  <c r="K121" i="15" s="1"/>
  <c r="D122" i="15"/>
  <c r="J82" i="15"/>
  <c r="K82" i="15" s="1"/>
  <c r="J85" i="15"/>
  <c r="K85" i="15" s="1"/>
  <c r="E87" i="15"/>
  <c r="J120" i="15"/>
  <c r="K120" i="15" s="1"/>
  <c r="D87" i="15"/>
  <c r="J83" i="15"/>
  <c r="K83" i="15" s="1"/>
  <c r="H62" i="15"/>
  <c r="C119" i="15"/>
  <c r="H83" i="15"/>
  <c r="E119" i="15"/>
  <c r="D119" i="15"/>
  <c r="H68" i="15"/>
  <c r="H118" i="15"/>
  <c r="H65" i="15"/>
  <c r="H10" i="15"/>
  <c r="G10" i="15"/>
  <c r="F10" i="15"/>
  <c r="J117" i="15"/>
  <c r="K117" i="15" s="1"/>
  <c r="H67" i="15"/>
  <c r="E57" i="13"/>
  <c r="E66" i="13" s="1"/>
  <c r="C111" i="13"/>
  <c r="C115" i="13"/>
  <c r="D115" i="13"/>
  <c r="E115" i="13"/>
  <c r="E86" i="13"/>
  <c r="C82" i="13"/>
  <c r="D82" i="13"/>
  <c r="C86" i="13"/>
  <c r="E82" i="13"/>
  <c r="D86" i="13"/>
  <c r="H84" i="13"/>
  <c r="C62" i="13"/>
  <c r="E111" i="13"/>
  <c r="H81" i="13"/>
  <c r="D111" i="13"/>
  <c r="J80" i="13"/>
  <c r="K80" i="13" s="1"/>
  <c r="C65" i="13" l="1"/>
  <c r="C66" i="13"/>
  <c r="C60" i="13"/>
  <c r="C67" i="13"/>
  <c r="C68" i="13"/>
  <c r="H122" i="15"/>
  <c r="J86" i="15"/>
  <c r="K86" i="15" s="1"/>
  <c r="J87" i="15"/>
  <c r="K87" i="15" s="1"/>
  <c r="C123" i="15"/>
  <c r="E123" i="15"/>
  <c r="H87" i="15"/>
  <c r="D123" i="15"/>
  <c r="K61" i="15"/>
  <c r="C135" i="15" s="1"/>
  <c r="J119" i="15"/>
  <c r="K119" i="15" s="1"/>
  <c r="H119" i="15"/>
  <c r="J118" i="15"/>
  <c r="K118" i="15" s="1"/>
  <c r="D112" i="13"/>
  <c r="E112" i="13"/>
  <c r="C112" i="13"/>
  <c r="H115" i="13"/>
  <c r="D116" i="13"/>
  <c r="C116" i="13"/>
  <c r="E116" i="13"/>
  <c r="C63" i="13"/>
  <c r="C64" i="13"/>
  <c r="C138" i="13"/>
  <c r="C83" i="13"/>
  <c r="E83" i="13"/>
  <c r="D87" i="13"/>
  <c r="C87" i="13"/>
  <c r="E87" i="13"/>
  <c r="D83" i="13"/>
  <c r="H85" i="13"/>
  <c r="J84" i="13"/>
  <c r="K84" i="13" s="1"/>
  <c r="J85" i="13"/>
  <c r="K85" i="13" s="1"/>
  <c r="H114" i="13"/>
  <c r="E61" i="13"/>
  <c r="E67" i="13"/>
  <c r="E65" i="13"/>
  <c r="D138" i="13"/>
  <c r="D68" i="13"/>
  <c r="D67" i="13"/>
  <c r="D66" i="13"/>
  <c r="D64" i="13"/>
  <c r="D63" i="13"/>
  <c r="D62" i="13"/>
  <c r="D61" i="13"/>
  <c r="D60" i="13"/>
  <c r="D65" i="13"/>
  <c r="E64" i="13"/>
  <c r="E60" i="13"/>
  <c r="H111" i="13"/>
  <c r="J110" i="13"/>
  <c r="K110" i="13" s="1"/>
  <c r="E138" i="13"/>
  <c r="E63" i="13"/>
  <c r="E62" i="13"/>
  <c r="J82" i="13"/>
  <c r="K82" i="13" s="1"/>
  <c r="H82" i="13"/>
  <c r="J81" i="13"/>
  <c r="K81" i="13" s="1"/>
  <c r="C145" i="15" l="1"/>
  <c r="H66" i="13"/>
  <c r="H60" i="13"/>
  <c r="E27" i="13" s="1"/>
  <c r="H123" i="15"/>
  <c r="J123" i="15"/>
  <c r="K123" i="15" s="1"/>
  <c r="J122" i="15"/>
  <c r="K122" i="15" s="1"/>
  <c r="C137" i="15"/>
  <c r="C147" i="15" s="1"/>
  <c r="E73" i="15"/>
  <c r="E105" i="15" s="1"/>
  <c r="D71" i="15"/>
  <c r="D103" i="15" s="1"/>
  <c r="E138" i="15"/>
  <c r="E148" i="15" s="1"/>
  <c r="D141" i="15"/>
  <c r="D151" i="15" s="1"/>
  <c r="E71" i="15"/>
  <c r="E103" i="15" s="1"/>
  <c r="D138" i="15"/>
  <c r="D148" i="15" s="1"/>
  <c r="D72" i="15"/>
  <c r="D127" i="15" s="1"/>
  <c r="E77" i="15"/>
  <c r="E109" i="15" s="1"/>
  <c r="C142" i="15"/>
  <c r="C152" i="15" s="1"/>
  <c r="C138" i="15"/>
  <c r="C148" i="15" s="1"/>
  <c r="D137" i="15"/>
  <c r="D147" i="15" s="1"/>
  <c r="E137" i="15"/>
  <c r="E147" i="15" s="1"/>
  <c r="D75" i="15"/>
  <c r="D130" i="15" s="1"/>
  <c r="D74" i="15"/>
  <c r="D129" i="15" s="1"/>
  <c r="C75" i="15"/>
  <c r="C107" i="15" s="1"/>
  <c r="C72" i="15"/>
  <c r="C127" i="15" s="1"/>
  <c r="E70" i="15"/>
  <c r="E102" i="15" s="1"/>
  <c r="D135" i="15"/>
  <c r="D145" i="15" s="1"/>
  <c r="D142" i="15"/>
  <c r="D152" i="15" s="1"/>
  <c r="C141" i="15"/>
  <c r="C151" i="15" s="1"/>
  <c r="C77" i="15"/>
  <c r="C132" i="15" s="1"/>
  <c r="E75" i="15"/>
  <c r="E130" i="15" s="1"/>
  <c r="C73" i="15"/>
  <c r="C128" i="15" s="1"/>
  <c r="C136" i="15"/>
  <c r="C146" i="15" s="1"/>
  <c r="D70" i="15"/>
  <c r="D102" i="15" s="1"/>
  <c r="E72" i="15"/>
  <c r="E104" i="15" s="1"/>
  <c r="D139" i="15"/>
  <c r="E142" i="15"/>
  <c r="E152" i="15" s="1"/>
  <c r="E141" i="15"/>
  <c r="E151" i="15" s="1"/>
  <c r="C76" i="15"/>
  <c r="C108" i="15" s="1"/>
  <c r="D136" i="15"/>
  <c r="D77" i="15"/>
  <c r="D109" i="15" s="1"/>
  <c r="E140" i="15"/>
  <c r="E150" i="15" s="1"/>
  <c r="D140" i="15"/>
  <c r="D150" i="15" s="1"/>
  <c r="E136" i="15"/>
  <c r="E139" i="15"/>
  <c r="C139" i="15"/>
  <c r="C149" i="15" s="1"/>
  <c r="C71" i="15"/>
  <c r="C126" i="15" s="1"/>
  <c r="C74" i="15"/>
  <c r="C129" i="15" s="1"/>
  <c r="E26" i="15"/>
  <c r="C140" i="15"/>
  <c r="C150" i="15" s="1"/>
  <c r="D73" i="15"/>
  <c r="D76" i="15"/>
  <c r="D131" i="15" s="1"/>
  <c r="E76" i="15"/>
  <c r="E131" i="15" s="1"/>
  <c r="C70" i="15"/>
  <c r="H70" i="15" s="1"/>
  <c r="E74" i="15"/>
  <c r="E129" i="15" s="1"/>
  <c r="E135" i="15"/>
  <c r="E145" i="15" s="1"/>
  <c r="E106" i="15"/>
  <c r="H61" i="13"/>
  <c r="E113" i="13"/>
  <c r="C113" i="13"/>
  <c r="D113" i="13"/>
  <c r="E117" i="13"/>
  <c r="C117" i="13"/>
  <c r="D117" i="13"/>
  <c r="H116" i="13"/>
  <c r="H67" i="13"/>
  <c r="H64" i="13"/>
  <c r="H63" i="13"/>
  <c r="H83" i="13"/>
  <c r="J83" i="13"/>
  <c r="K83" i="13" s="1"/>
  <c r="J114" i="13"/>
  <c r="K114" i="13" s="1"/>
  <c r="H86" i="13"/>
  <c r="J115" i="13"/>
  <c r="K115" i="13" s="1"/>
  <c r="H62" i="13"/>
  <c r="H65" i="13"/>
  <c r="H112" i="13"/>
  <c r="G10" i="13"/>
  <c r="F10" i="13"/>
  <c r="H10" i="13"/>
  <c r="J111" i="13"/>
  <c r="K111" i="13" s="1"/>
  <c r="G135" i="15" l="1"/>
  <c r="E146" i="15"/>
  <c r="I135" i="15"/>
  <c r="D146" i="15"/>
  <c r="F12" i="15" s="1"/>
  <c r="H135" i="15"/>
  <c r="D149" i="15"/>
  <c r="H136" i="15"/>
  <c r="G136" i="15"/>
  <c r="E149" i="15"/>
  <c r="I136" i="15"/>
  <c r="D126" i="15"/>
  <c r="E127" i="15"/>
  <c r="H127" i="15" s="1"/>
  <c r="B24" i="15" s="1"/>
  <c r="C131" i="15"/>
  <c r="H131" i="15" s="1"/>
  <c r="B28" i="15" s="1"/>
  <c r="F11" i="15"/>
  <c r="G14" i="15"/>
  <c r="H74" i="15"/>
  <c r="C109" i="15"/>
  <c r="H109" i="15" s="1"/>
  <c r="E126" i="15"/>
  <c r="D107" i="15"/>
  <c r="E125" i="15"/>
  <c r="H77" i="15"/>
  <c r="F14" i="15"/>
  <c r="G17" i="15"/>
  <c r="E132" i="15"/>
  <c r="D125" i="15"/>
  <c r="D104" i="15"/>
  <c r="H14" i="15"/>
  <c r="C130" i="15"/>
  <c r="H130" i="15" s="1"/>
  <c r="B27" i="15" s="1"/>
  <c r="G18" i="15"/>
  <c r="F13" i="15"/>
  <c r="E128" i="15"/>
  <c r="H71" i="15"/>
  <c r="E108" i="15"/>
  <c r="C103" i="15"/>
  <c r="H103" i="15" s="1"/>
  <c r="H11" i="15"/>
  <c r="G13" i="15"/>
  <c r="H16" i="15"/>
  <c r="G11" i="15"/>
  <c r="E107" i="15"/>
  <c r="H107" i="15" s="1"/>
  <c r="H73" i="15"/>
  <c r="D106" i="15"/>
  <c r="H72" i="15"/>
  <c r="K70" i="15" s="1"/>
  <c r="H18" i="15"/>
  <c r="H75" i="15"/>
  <c r="H17" i="15"/>
  <c r="F17" i="15"/>
  <c r="C104" i="15"/>
  <c r="H76" i="15"/>
  <c r="F18" i="15"/>
  <c r="H13" i="15"/>
  <c r="C106" i="15"/>
  <c r="C105" i="15"/>
  <c r="D132" i="15"/>
  <c r="F16" i="15"/>
  <c r="C125" i="15"/>
  <c r="G16" i="15"/>
  <c r="C102" i="15"/>
  <c r="H102" i="15" s="1"/>
  <c r="D108" i="15"/>
  <c r="D105" i="15"/>
  <c r="D128" i="15"/>
  <c r="H128" i="15" s="1"/>
  <c r="B25" i="15" s="1"/>
  <c r="H129" i="15"/>
  <c r="B26" i="15" s="1"/>
  <c r="H117" i="13"/>
  <c r="J116" i="13"/>
  <c r="J112" i="13"/>
  <c r="K112" i="13" s="1"/>
  <c r="H113" i="13"/>
  <c r="J113" i="13"/>
  <c r="K113" i="13" s="1"/>
  <c r="H12" i="15" l="1"/>
  <c r="H132" i="15"/>
  <c r="B29" i="15" s="1"/>
  <c r="G12" i="15"/>
  <c r="F15" i="15"/>
  <c r="H108" i="15"/>
  <c r="G15" i="15"/>
  <c r="H15" i="15"/>
  <c r="K135" i="15"/>
  <c r="E35" i="15" s="1"/>
  <c r="E34" i="15" s="1"/>
  <c r="K136" i="15"/>
  <c r="E31" i="15" s="1"/>
  <c r="E30" i="15" s="1"/>
  <c r="H126" i="15"/>
  <c r="B23" i="15" s="1"/>
  <c r="H125" i="15"/>
  <c r="B22" i="15" s="1"/>
  <c r="H104" i="15"/>
  <c r="H105" i="15"/>
  <c r="H106" i="15"/>
  <c r="J86" i="13"/>
  <c r="K86" i="13" s="1"/>
  <c r="J87" i="13"/>
  <c r="K87" i="13" s="1"/>
  <c r="G31" i="15" l="1"/>
  <c r="E22" i="15"/>
  <c r="E23" i="15" s="1"/>
  <c r="J117" i="13"/>
  <c r="K117" i="13" s="1"/>
  <c r="K116" i="13"/>
  <c r="B139" i="12" l="1"/>
  <c r="B138" i="12"/>
  <c r="B137" i="12"/>
  <c r="B136" i="12"/>
  <c r="B135" i="12"/>
  <c r="B134" i="12"/>
  <c r="B133" i="12"/>
  <c r="B132" i="12"/>
  <c r="L130" i="12"/>
  <c r="G130" i="12"/>
  <c r="L129" i="12"/>
  <c r="G129" i="12"/>
  <c r="L128" i="12"/>
  <c r="G128" i="12"/>
  <c r="L127" i="12"/>
  <c r="L126" i="12"/>
  <c r="L125" i="12"/>
  <c r="L124" i="12"/>
  <c r="L123" i="12"/>
  <c r="G123" i="12"/>
  <c r="B95" i="12"/>
  <c r="B130" i="12" s="1"/>
  <c r="B149" i="12" s="1"/>
  <c r="B159" i="12" s="1"/>
  <c r="B94" i="12"/>
  <c r="B107" i="12" s="1"/>
  <c r="B93" i="12"/>
  <c r="B92" i="12"/>
  <c r="B105" i="12" s="1"/>
  <c r="B91" i="12"/>
  <c r="B104" i="12" s="1"/>
  <c r="B90" i="12"/>
  <c r="B125" i="12" s="1"/>
  <c r="B144" i="12" s="1"/>
  <c r="B154" i="12" s="1"/>
  <c r="B89" i="12"/>
  <c r="B102" i="12" s="1"/>
  <c r="E88" i="12"/>
  <c r="E121" i="12" s="1"/>
  <c r="D88" i="12"/>
  <c r="C88" i="12"/>
  <c r="B88" i="12"/>
  <c r="B123" i="12" s="1"/>
  <c r="B142" i="12" s="1"/>
  <c r="B152" i="12" s="1"/>
  <c r="C72" i="12"/>
  <c r="D14" i="12" s="1"/>
  <c r="C71" i="12"/>
  <c r="D18" i="12" s="1"/>
  <c r="B69" i="12"/>
  <c r="B68" i="12"/>
  <c r="B67" i="12"/>
  <c r="B66" i="12"/>
  <c r="B65" i="12"/>
  <c r="B64" i="12"/>
  <c r="B63" i="12"/>
  <c r="B62" i="12"/>
  <c r="B48" i="12"/>
  <c r="B47" i="12"/>
  <c r="H46" i="12"/>
  <c r="G46" i="12"/>
  <c r="B46" i="12"/>
  <c r="G45" i="12"/>
  <c r="B45" i="12"/>
  <c r="B44" i="12"/>
  <c r="B43" i="12"/>
  <c r="L42" i="12"/>
  <c r="M42" i="12" s="1"/>
  <c r="H41" i="12" s="1"/>
  <c r="H45" i="12" s="1"/>
  <c r="H42" i="12"/>
  <c r="G42" i="12"/>
  <c r="B42" i="12"/>
  <c r="L41" i="12"/>
  <c r="M41" i="12" s="1"/>
  <c r="G41" i="12"/>
  <c r="B41" i="12"/>
  <c r="L40" i="12"/>
  <c r="M40" i="12" s="1"/>
  <c r="G40" i="12"/>
  <c r="G44" i="12" s="1"/>
  <c r="J26" i="12"/>
  <c r="J25" i="12"/>
  <c r="J24" i="12"/>
  <c r="C16" i="12"/>
  <c r="C15" i="12"/>
  <c r="B14" i="12"/>
  <c r="B13" i="12"/>
  <c r="D16" i="12" l="1"/>
  <c r="D46" i="12" s="1"/>
  <c r="D17" i="12"/>
  <c r="D12" i="12"/>
  <c r="D11" i="12"/>
  <c r="E99" i="12"/>
  <c r="C99" i="12" s="1"/>
  <c r="K81" i="12"/>
  <c r="K79" i="12"/>
  <c r="K82" i="12"/>
  <c r="K80" i="12"/>
  <c r="M72" i="12"/>
  <c r="O72" i="12" s="1"/>
  <c r="D13" i="12"/>
  <c r="D15" i="12"/>
  <c r="D45" i="12" s="1"/>
  <c r="K83" i="12"/>
  <c r="K77" i="12"/>
  <c r="K84" i="12"/>
  <c r="K78" i="12"/>
  <c r="M71" i="12"/>
  <c r="O71" i="12" s="1"/>
  <c r="H40" i="12"/>
  <c r="H44" i="12" s="1"/>
  <c r="I41" i="12"/>
  <c r="E119" i="12"/>
  <c r="C120" i="12"/>
  <c r="B129" i="12"/>
  <c r="B148" i="12" s="1"/>
  <c r="B158" i="12" s="1"/>
  <c r="E98" i="12"/>
  <c r="C98" i="12" s="1"/>
  <c r="B124" i="12"/>
  <c r="B143" i="12" s="1"/>
  <c r="B153" i="12" s="1"/>
  <c r="B103" i="12"/>
  <c r="B108" i="12"/>
  <c r="B126" i="12"/>
  <c r="B145" i="12" s="1"/>
  <c r="B155" i="12" s="1"/>
  <c r="D43" i="12"/>
  <c r="D42" i="12"/>
  <c r="I40" i="12"/>
  <c r="I42" i="12"/>
  <c r="E43" i="12" s="1"/>
  <c r="B127" i="12"/>
  <c r="B146" i="12" s="1"/>
  <c r="B156" i="12" s="1"/>
  <c r="D48" i="12"/>
  <c r="D47" i="12"/>
  <c r="D40" i="12"/>
  <c r="D44" i="12"/>
  <c r="B106" i="12"/>
  <c r="B128" i="12"/>
  <c r="B147" i="12" s="1"/>
  <c r="B157" i="12" s="1"/>
  <c r="D119" i="12"/>
  <c r="H88" i="12"/>
  <c r="C119" i="12"/>
  <c r="C121" i="12"/>
  <c r="E120" i="12"/>
  <c r="D120" i="12"/>
  <c r="D121" i="12"/>
  <c r="B101" i="12"/>
  <c r="C16" i="11"/>
  <c r="B14" i="11"/>
  <c r="C15" i="11"/>
  <c r="C72" i="11"/>
  <c r="D13" i="11" s="1"/>
  <c r="B139" i="11"/>
  <c r="B138" i="11"/>
  <c r="B137" i="11"/>
  <c r="B136" i="11"/>
  <c r="B135" i="11"/>
  <c r="B134" i="11"/>
  <c r="B133" i="11"/>
  <c r="B132" i="11"/>
  <c r="L130" i="11"/>
  <c r="G130" i="11"/>
  <c r="L129" i="11"/>
  <c r="G129" i="11"/>
  <c r="L128" i="11"/>
  <c r="G128" i="11"/>
  <c r="L127" i="11"/>
  <c r="L126" i="11"/>
  <c r="L125" i="11"/>
  <c r="L124" i="11"/>
  <c r="L123" i="11"/>
  <c r="G123" i="11"/>
  <c r="B95" i="11"/>
  <c r="B130" i="11" s="1"/>
  <c r="B149" i="11" s="1"/>
  <c r="B159" i="11" s="1"/>
  <c r="B94" i="11"/>
  <c r="B129" i="11" s="1"/>
  <c r="B148" i="11" s="1"/>
  <c r="B158" i="11" s="1"/>
  <c r="B93" i="11"/>
  <c r="B128" i="11" s="1"/>
  <c r="B147" i="11" s="1"/>
  <c r="B157" i="11" s="1"/>
  <c r="B92" i="11"/>
  <c r="B127" i="11" s="1"/>
  <c r="B146" i="11" s="1"/>
  <c r="B156" i="11" s="1"/>
  <c r="B91" i="11"/>
  <c r="B126" i="11" s="1"/>
  <c r="B145" i="11" s="1"/>
  <c r="B155" i="11" s="1"/>
  <c r="B90" i="11"/>
  <c r="B125" i="11" s="1"/>
  <c r="B144" i="11" s="1"/>
  <c r="B154" i="11" s="1"/>
  <c r="B89" i="11"/>
  <c r="B124" i="11" s="1"/>
  <c r="B143" i="11" s="1"/>
  <c r="B153" i="11" s="1"/>
  <c r="E88" i="11"/>
  <c r="D120" i="11"/>
  <c r="B88" i="11"/>
  <c r="B123" i="11" s="1"/>
  <c r="B142" i="11" s="1"/>
  <c r="B152" i="11" s="1"/>
  <c r="B69" i="11"/>
  <c r="B68" i="11"/>
  <c r="B67" i="11"/>
  <c r="B66" i="11"/>
  <c r="B65" i="11"/>
  <c r="B64" i="11"/>
  <c r="B63" i="11"/>
  <c r="B62" i="11"/>
  <c r="B48" i="11"/>
  <c r="B47" i="11"/>
  <c r="H46" i="11"/>
  <c r="G46" i="11"/>
  <c r="B46" i="11"/>
  <c r="G45" i="11"/>
  <c r="B45" i="11"/>
  <c r="B44" i="11"/>
  <c r="B43" i="11"/>
  <c r="L42" i="11"/>
  <c r="M42" i="11" s="1"/>
  <c r="H40" i="11" s="1"/>
  <c r="H42" i="11"/>
  <c r="G42" i="11"/>
  <c r="L41" i="11"/>
  <c r="M41" i="11" s="1"/>
  <c r="G41" i="11"/>
  <c r="B41" i="11"/>
  <c r="L40" i="11"/>
  <c r="M40" i="11" s="1"/>
  <c r="G40" i="11"/>
  <c r="G44" i="11" s="1"/>
  <c r="J26" i="11"/>
  <c r="J25" i="11"/>
  <c r="J24" i="11"/>
  <c r="G60" i="6"/>
  <c r="G61" i="6"/>
  <c r="G62" i="6"/>
  <c r="G63" i="6"/>
  <c r="G64" i="6"/>
  <c r="G65" i="6"/>
  <c r="G66" i="6"/>
  <c r="G59" i="6"/>
  <c r="E81" i="6"/>
  <c r="E77" i="6"/>
  <c r="C77" i="6"/>
  <c r="C95" i="6" s="1"/>
  <c r="E70" i="6"/>
  <c r="D81" i="6"/>
  <c r="G49" i="5"/>
  <c r="G50" i="5"/>
  <c r="G51" i="5"/>
  <c r="G48" i="5"/>
  <c r="D101" i="12" l="1"/>
  <c r="D41" i="12"/>
  <c r="D49" i="12" s="1"/>
  <c r="D151" i="12" s="1"/>
  <c r="M75" i="12"/>
  <c r="K29" i="12" s="1"/>
  <c r="C45" i="12"/>
  <c r="C77" i="12"/>
  <c r="C76" i="12"/>
  <c r="M74" i="12"/>
  <c r="K28" i="12" s="1"/>
  <c r="E42" i="12"/>
  <c r="C43" i="12"/>
  <c r="C48" i="12"/>
  <c r="C44" i="12"/>
  <c r="E48" i="12"/>
  <c r="B107" i="11"/>
  <c r="B103" i="11"/>
  <c r="E101" i="12"/>
  <c r="C42" i="12"/>
  <c r="C41" i="12"/>
  <c r="C40" i="12"/>
  <c r="C46" i="12"/>
  <c r="C101" i="12"/>
  <c r="I46" i="12"/>
  <c r="E40" i="12"/>
  <c r="E46" i="12"/>
  <c r="E41" i="12"/>
  <c r="C47" i="12"/>
  <c r="I45" i="12"/>
  <c r="E44" i="12"/>
  <c r="E47" i="12"/>
  <c r="E45" i="12"/>
  <c r="E120" i="11"/>
  <c r="H88" i="11"/>
  <c r="B106" i="11"/>
  <c r="B102" i="11"/>
  <c r="H41" i="11"/>
  <c r="H45" i="11" s="1"/>
  <c r="B101" i="11"/>
  <c r="B105" i="11"/>
  <c r="I41" i="11"/>
  <c r="B108" i="11"/>
  <c r="B104" i="11"/>
  <c r="C98" i="11"/>
  <c r="D17" i="11"/>
  <c r="I40" i="11"/>
  <c r="I42" i="11"/>
  <c r="C121" i="11"/>
  <c r="E121" i="11"/>
  <c r="C120" i="11"/>
  <c r="D121" i="11"/>
  <c r="C119" i="11"/>
  <c r="D119" i="11"/>
  <c r="E119" i="11"/>
  <c r="D70" i="6"/>
  <c r="C93" i="10"/>
  <c r="E93" i="10"/>
  <c r="G110" i="10"/>
  <c r="H44" i="11" l="1"/>
  <c r="D44" i="11"/>
  <c r="D45" i="11"/>
  <c r="D41" i="11"/>
  <c r="E123" i="12"/>
  <c r="C123" i="12"/>
  <c r="H101" i="12"/>
  <c r="L28" i="12" s="1"/>
  <c r="D123" i="12"/>
  <c r="D53" i="12"/>
  <c r="D60" i="12"/>
  <c r="D59" i="12"/>
  <c r="D55" i="12"/>
  <c r="D57" i="12"/>
  <c r="D54" i="12"/>
  <c r="C49" i="12"/>
  <c r="D56" i="12"/>
  <c r="D52" i="12"/>
  <c r="E49" i="12"/>
  <c r="D58" i="12"/>
  <c r="D40" i="11"/>
  <c r="D47" i="11"/>
  <c r="D46" i="11"/>
  <c r="D43" i="11"/>
  <c r="D48" i="11"/>
  <c r="D42" i="11"/>
  <c r="C45" i="11"/>
  <c r="C42" i="11"/>
  <c r="E46" i="11"/>
  <c r="E44" i="11"/>
  <c r="E42" i="11"/>
  <c r="C41" i="11"/>
  <c r="C43" i="11"/>
  <c r="C44" i="11"/>
  <c r="C47" i="11"/>
  <c r="E47" i="11"/>
  <c r="C48" i="11"/>
  <c r="C40" i="11"/>
  <c r="E41" i="11"/>
  <c r="I46" i="11"/>
  <c r="E40" i="11"/>
  <c r="E43" i="11"/>
  <c r="E48" i="11"/>
  <c r="C46" i="11"/>
  <c r="E45" i="11"/>
  <c r="I45" i="11"/>
  <c r="G54" i="1"/>
  <c r="G55" i="1"/>
  <c r="G56" i="1"/>
  <c r="G57" i="1"/>
  <c r="G58" i="1"/>
  <c r="G53" i="1"/>
  <c r="C59" i="12" l="1"/>
  <c r="C151" i="12"/>
  <c r="D151" i="11"/>
  <c r="H123" i="12"/>
  <c r="E151" i="12"/>
  <c r="E60" i="12"/>
  <c r="E55" i="12"/>
  <c r="E54" i="12"/>
  <c r="E56" i="12"/>
  <c r="E57" i="12"/>
  <c r="E52" i="12"/>
  <c r="E58" i="12"/>
  <c r="E59" i="12"/>
  <c r="E53" i="12"/>
  <c r="C56" i="12"/>
  <c r="C54" i="12"/>
  <c r="C52" i="12"/>
  <c r="C53" i="12"/>
  <c r="C57" i="12"/>
  <c r="C55" i="12"/>
  <c r="C58" i="12"/>
  <c r="C60" i="12"/>
  <c r="E123" i="11"/>
  <c r="C123" i="11"/>
  <c r="D123" i="11"/>
  <c r="H101" i="11"/>
  <c r="E49" i="11"/>
  <c r="E53" i="11" s="1"/>
  <c r="C49" i="11"/>
  <c r="C58" i="11" s="1"/>
  <c r="B150" i="10"/>
  <c r="B151" i="10"/>
  <c r="B152" i="10"/>
  <c r="B153" i="10"/>
  <c r="B154" i="10"/>
  <c r="B155" i="10"/>
  <c r="G137" i="10"/>
  <c r="G138" i="10"/>
  <c r="G139" i="10"/>
  <c r="G140" i="10"/>
  <c r="G141" i="10"/>
  <c r="G142" i="10"/>
  <c r="D99" i="10"/>
  <c r="B99" i="10"/>
  <c r="B137" i="10" s="1"/>
  <c r="B164" i="10" s="1"/>
  <c r="B178" i="10" s="1"/>
  <c r="B100" i="10"/>
  <c r="B138" i="10" s="1"/>
  <c r="B165" i="10" s="1"/>
  <c r="B179" i="10" s="1"/>
  <c r="B101" i="10"/>
  <c r="B139" i="10" s="1"/>
  <c r="B166" i="10" s="1"/>
  <c r="B180" i="10" s="1"/>
  <c r="B102" i="10"/>
  <c r="B140" i="10" s="1"/>
  <c r="B167" i="10" s="1"/>
  <c r="B181" i="10" s="1"/>
  <c r="B103" i="10"/>
  <c r="B141" i="10" s="1"/>
  <c r="B168" i="10" s="1"/>
  <c r="B182" i="10" s="1"/>
  <c r="B104" i="10"/>
  <c r="B142" i="10" s="1"/>
  <c r="B169" i="10" s="1"/>
  <c r="B183" i="10" s="1"/>
  <c r="B85" i="10"/>
  <c r="B86" i="10"/>
  <c r="B87" i="10"/>
  <c r="B88" i="10"/>
  <c r="B89" i="10"/>
  <c r="B90" i="10"/>
  <c r="B61" i="10"/>
  <c r="B56" i="10"/>
  <c r="B57" i="10"/>
  <c r="B58" i="10"/>
  <c r="B59" i="10"/>
  <c r="B60" i="10"/>
  <c r="B149" i="10"/>
  <c r="B148" i="10"/>
  <c r="B147" i="10"/>
  <c r="B146" i="10"/>
  <c r="B145" i="10"/>
  <c r="B144" i="10"/>
  <c r="G136" i="10"/>
  <c r="G131" i="10"/>
  <c r="D106" i="10"/>
  <c r="B98" i="10"/>
  <c r="B136" i="10" s="1"/>
  <c r="B163" i="10" s="1"/>
  <c r="B177" i="10" s="1"/>
  <c r="B97" i="10"/>
  <c r="B135" i="10" s="1"/>
  <c r="B162" i="10" s="1"/>
  <c r="B176" i="10" s="1"/>
  <c r="B96" i="10"/>
  <c r="B134" i="10" s="1"/>
  <c r="B161" i="10" s="1"/>
  <c r="B175" i="10" s="1"/>
  <c r="B95" i="10"/>
  <c r="B133" i="10" s="1"/>
  <c r="B160" i="10" s="1"/>
  <c r="B174" i="10" s="1"/>
  <c r="B94" i="10"/>
  <c r="B132" i="10" s="1"/>
  <c r="B159" i="10" s="1"/>
  <c r="B173" i="10" s="1"/>
  <c r="D93" i="10"/>
  <c r="B93" i="10"/>
  <c r="B131" i="10" s="1"/>
  <c r="B158" i="10" s="1"/>
  <c r="B172" i="10" s="1"/>
  <c r="B84" i="10"/>
  <c r="B83" i="10"/>
  <c r="B82" i="10"/>
  <c r="B81" i="10"/>
  <c r="B80" i="10"/>
  <c r="B79" i="10"/>
  <c r="H55" i="10"/>
  <c r="G55" i="10"/>
  <c r="B55" i="10"/>
  <c r="G54" i="10"/>
  <c r="B54" i="10"/>
  <c r="B53" i="10"/>
  <c r="B52" i="10"/>
  <c r="L51" i="10"/>
  <c r="M51" i="10" s="1"/>
  <c r="H50" i="10" s="1"/>
  <c r="H54" i="10" s="1"/>
  <c r="H51" i="10"/>
  <c r="G51" i="10"/>
  <c r="B51" i="10"/>
  <c r="L50" i="10"/>
  <c r="M50" i="10" s="1"/>
  <c r="G50" i="10"/>
  <c r="B50" i="10"/>
  <c r="L49" i="10"/>
  <c r="M49" i="10" s="1"/>
  <c r="G49" i="10"/>
  <c r="J31" i="10"/>
  <c r="J30" i="10"/>
  <c r="J29" i="10"/>
  <c r="J28" i="10"/>
  <c r="H59" i="12" l="1"/>
  <c r="D57" i="11"/>
  <c r="D54" i="11"/>
  <c r="D59" i="11"/>
  <c r="D53" i="11"/>
  <c r="D58" i="11"/>
  <c r="D55" i="11"/>
  <c r="D56" i="11"/>
  <c r="D52" i="11"/>
  <c r="C53" i="11"/>
  <c r="H56" i="12"/>
  <c r="H60" i="12"/>
  <c r="H53" i="12"/>
  <c r="H10" i="12"/>
  <c r="G10" i="12"/>
  <c r="F10" i="12"/>
  <c r="H58" i="12"/>
  <c r="H52" i="12"/>
  <c r="E27" i="12" s="1"/>
  <c r="H57" i="12"/>
  <c r="H55" i="12"/>
  <c r="H54" i="12"/>
  <c r="H123" i="11"/>
  <c r="E59" i="11"/>
  <c r="C151" i="11"/>
  <c r="C59" i="11"/>
  <c r="C55" i="11"/>
  <c r="C57" i="11"/>
  <c r="C54" i="11"/>
  <c r="C56" i="11"/>
  <c r="E57" i="11"/>
  <c r="E60" i="11"/>
  <c r="E151" i="11"/>
  <c r="E54" i="11"/>
  <c r="E58" i="11"/>
  <c r="E56" i="11"/>
  <c r="E55" i="11"/>
  <c r="C60" i="11"/>
  <c r="E52" i="11"/>
  <c r="D110" i="10"/>
  <c r="E109" i="10"/>
  <c r="E127" i="10"/>
  <c r="C127" i="10"/>
  <c r="H99" i="10"/>
  <c r="H137" i="10" s="1"/>
  <c r="E128" i="10"/>
  <c r="C110" i="10"/>
  <c r="C111" i="10"/>
  <c r="D111" i="10"/>
  <c r="C129" i="10"/>
  <c r="C109" i="10"/>
  <c r="H49" i="10"/>
  <c r="I53" i="10" s="1"/>
  <c r="I50" i="10"/>
  <c r="D54" i="10" s="1"/>
  <c r="I51" i="10"/>
  <c r="I49" i="10"/>
  <c r="D127" i="10"/>
  <c r="H93" i="10"/>
  <c r="H131" i="10" s="1"/>
  <c r="D109" i="10"/>
  <c r="E110" i="10"/>
  <c r="E111" i="10"/>
  <c r="C128" i="10"/>
  <c r="D129" i="10"/>
  <c r="G53" i="10"/>
  <c r="D128" i="10"/>
  <c r="E129" i="10"/>
  <c r="B73" i="9"/>
  <c r="G83" i="9"/>
  <c r="B114" i="9"/>
  <c r="B113" i="9"/>
  <c r="B112" i="9"/>
  <c r="B111" i="9"/>
  <c r="B110" i="9"/>
  <c r="B109" i="9"/>
  <c r="G107" i="9"/>
  <c r="G102" i="9"/>
  <c r="G87" i="9"/>
  <c r="E77" i="9"/>
  <c r="D77" i="9"/>
  <c r="B75" i="9"/>
  <c r="B107" i="9" s="1"/>
  <c r="B122" i="9" s="1"/>
  <c r="B130" i="9" s="1"/>
  <c r="B74" i="9"/>
  <c r="B106" i="9" s="1"/>
  <c r="B121" i="9" s="1"/>
  <c r="B129" i="9" s="1"/>
  <c r="D80" i="9"/>
  <c r="B128" i="9"/>
  <c r="B72" i="9"/>
  <c r="B104" i="9" s="1"/>
  <c r="B119" i="9" s="1"/>
  <c r="B127" i="9" s="1"/>
  <c r="B71" i="9"/>
  <c r="B103" i="9" s="1"/>
  <c r="B118" i="9" s="1"/>
  <c r="B126" i="9" s="1"/>
  <c r="E102" i="9"/>
  <c r="D70" i="9"/>
  <c r="D99" i="9" s="1"/>
  <c r="C98" i="9"/>
  <c r="B70" i="9"/>
  <c r="B102" i="9" s="1"/>
  <c r="B117" i="9" s="1"/>
  <c r="B125" i="9" s="1"/>
  <c r="B67" i="9"/>
  <c r="B66" i="9"/>
  <c r="B65" i="9"/>
  <c r="B64" i="9"/>
  <c r="B63" i="9"/>
  <c r="B62" i="9"/>
  <c r="H50" i="9"/>
  <c r="G50" i="9"/>
  <c r="B50" i="9"/>
  <c r="G49" i="9"/>
  <c r="B49" i="9"/>
  <c r="B48" i="9"/>
  <c r="B47" i="9"/>
  <c r="L46" i="9"/>
  <c r="M46" i="9" s="1"/>
  <c r="H46" i="9"/>
  <c r="G46" i="9"/>
  <c r="B46" i="9"/>
  <c r="L45" i="9"/>
  <c r="M45" i="9" s="1"/>
  <c r="I44" i="9" s="1"/>
  <c r="G45" i="9"/>
  <c r="B45" i="9"/>
  <c r="L44" i="9"/>
  <c r="M44" i="9" s="1"/>
  <c r="G44" i="9"/>
  <c r="J26" i="9"/>
  <c r="J25" i="9"/>
  <c r="J24" i="9"/>
  <c r="J23" i="9"/>
  <c r="D73" i="8"/>
  <c r="D77" i="8"/>
  <c r="C96" i="8"/>
  <c r="G81" i="8"/>
  <c r="J26" i="8"/>
  <c r="B108" i="8"/>
  <c r="B107" i="8"/>
  <c r="B106" i="8"/>
  <c r="B105" i="8"/>
  <c r="B104" i="8"/>
  <c r="B103" i="8"/>
  <c r="G101" i="8"/>
  <c r="G96" i="8"/>
  <c r="B75" i="8"/>
  <c r="B101" i="8" s="1"/>
  <c r="B116" i="8" s="1"/>
  <c r="B124" i="8" s="1"/>
  <c r="B74" i="8"/>
  <c r="B100" i="8" s="1"/>
  <c r="B115" i="8" s="1"/>
  <c r="B123" i="8" s="1"/>
  <c r="B73" i="8"/>
  <c r="B99" i="8" s="1"/>
  <c r="B114" i="8" s="1"/>
  <c r="B122" i="8" s="1"/>
  <c r="B72" i="8"/>
  <c r="B98" i="8" s="1"/>
  <c r="B113" i="8" s="1"/>
  <c r="B121" i="8" s="1"/>
  <c r="B71" i="8"/>
  <c r="B97" i="8" s="1"/>
  <c r="B112" i="8" s="1"/>
  <c r="B120" i="8" s="1"/>
  <c r="E96" i="8"/>
  <c r="D70" i="8"/>
  <c r="B70" i="8"/>
  <c r="B96" i="8" s="1"/>
  <c r="B111" i="8" s="1"/>
  <c r="B119" i="8" s="1"/>
  <c r="B67" i="8"/>
  <c r="B66" i="8"/>
  <c r="B65" i="8"/>
  <c r="B64" i="8"/>
  <c r="B63" i="8"/>
  <c r="B62" i="8"/>
  <c r="H50" i="8"/>
  <c r="G50" i="8"/>
  <c r="B50" i="8"/>
  <c r="G49" i="8"/>
  <c r="B49" i="8"/>
  <c r="B48" i="8"/>
  <c r="B47" i="8"/>
  <c r="L46" i="8"/>
  <c r="M46" i="8" s="1"/>
  <c r="H46" i="8"/>
  <c r="G46" i="8"/>
  <c r="B46" i="8"/>
  <c r="L45" i="8"/>
  <c r="M45" i="8" s="1"/>
  <c r="I44" i="8" s="1"/>
  <c r="G45" i="8"/>
  <c r="B45" i="8"/>
  <c r="L44" i="8"/>
  <c r="M44" i="8" s="1"/>
  <c r="I45" i="8" s="1"/>
  <c r="G44" i="8"/>
  <c r="J25" i="8"/>
  <c r="J24" i="8"/>
  <c r="J23" i="8"/>
  <c r="H58" i="11" l="1"/>
  <c r="D51" i="10"/>
  <c r="D59" i="10"/>
  <c r="E88" i="9"/>
  <c r="D60" i="10"/>
  <c r="D50" i="10"/>
  <c r="D55" i="10"/>
  <c r="E82" i="8"/>
  <c r="K53" i="12"/>
  <c r="H52" i="11"/>
  <c r="E27" i="11" s="1"/>
  <c r="H60" i="11"/>
  <c r="H56" i="11"/>
  <c r="H53" i="11"/>
  <c r="H59" i="11"/>
  <c r="H57" i="11"/>
  <c r="G10" i="11"/>
  <c r="H10" i="11"/>
  <c r="F10" i="11"/>
  <c r="H54" i="11"/>
  <c r="H55" i="11"/>
  <c r="H44" i="9"/>
  <c r="C44" i="9" s="1"/>
  <c r="H45" i="9"/>
  <c r="H49" i="9" s="1"/>
  <c r="C80" i="8"/>
  <c r="D53" i="10"/>
  <c r="D61" i="10"/>
  <c r="C60" i="10"/>
  <c r="D81" i="8"/>
  <c r="D58" i="10"/>
  <c r="C137" i="10"/>
  <c r="C94" i="10"/>
  <c r="D94" i="10"/>
  <c r="E137" i="10"/>
  <c r="E94" i="10"/>
  <c r="D137" i="10"/>
  <c r="C100" i="10"/>
  <c r="E131" i="10"/>
  <c r="D131" i="10"/>
  <c r="C131" i="10"/>
  <c r="E50" i="10"/>
  <c r="E57" i="10"/>
  <c r="E61" i="10"/>
  <c r="E58" i="10"/>
  <c r="E59" i="10"/>
  <c r="E56" i="10"/>
  <c r="E60" i="10"/>
  <c r="C59" i="10"/>
  <c r="D57" i="10"/>
  <c r="D56" i="10"/>
  <c r="C61" i="10"/>
  <c r="C58" i="10"/>
  <c r="C56" i="10"/>
  <c r="C57" i="10"/>
  <c r="E100" i="10"/>
  <c r="D100" i="10"/>
  <c r="C52" i="10"/>
  <c r="C55" i="10"/>
  <c r="D52" i="10"/>
  <c r="C51" i="10"/>
  <c r="D49" i="10"/>
  <c r="C53" i="10"/>
  <c r="I55" i="10"/>
  <c r="E49" i="10"/>
  <c r="E54" i="10"/>
  <c r="E51" i="10"/>
  <c r="E55" i="10"/>
  <c r="C54" i="10"/>
  <c r="E53" i="10"/>
  <c r="I54" i="10"/>
  <c r="H53" i="10"/>
  <c r="C50" i="10"/>
  <c r="C49" i="10"/>
  <c r="E52" i="10"/>
  <c r="H48" i="9"/>
  <c r="H70" i="9"/>
  <c r="H102" i="9" s="1"/>
  <c r="D82" i="9"/>
  <c r="E84" i="9"/>
  <c r="D84" i="9"/>
  <c r="D83" i="9"/>
  <c r="E86" i="9"/>
  <c r="C88" i="9"/>
  <c r="C83" i="9"/>
  <c r="C82" i="9"/>
  <c r="E87" i="9"/>
  <c r="D98" i="9"/>
  <c r="C84" i="9"/>
  <c r="E82" i="9"/>
  <c r="E99" i="9"/>
  <c r="C86" i="9"/>
  <c r="E83" i="9"/>
  <c r="G48" i="9"/>
  <c r="C50" i="9"/>
  <c r="I45" i="9"/>
  <c r="C87" i="9"/>
  <c r="I46" i="9"/>
  <c r="D87" i="9"/>
  <c r="D88" i="9"/>
  <c r="E98" i="9"/>
  <c r="C100" i="9"/>
  <c r="C102" i="9"/>
  <c r="C117" i="9" s="1"/>
  <c r="D86" i="9"/>
  <c r="C99" i="9"/>
  <c r="D100" i="9"/>
  <c r="D102" i="9"/>
  <c r="E100" i="9"/>
  <c r="D92" i="8"/>
  <c r="E93" i="8"/>
  <c r="H70" i="8"/>
  <c r="H96" i="8" s="1"/>
  <c r="E92" i="8"/>
  <c r="C94" i="8"/>
  <c r="E81" i="8"/>
  <c r="E80" i="8"/>
  <c r="C82" i="8"/>
  <c r="D80" i="8"/>
  <c r="C81" i="8"/>
  <c r="D82" i="8"/>
  <c r="I46" i="8"/>
  <c r="E49" i="8" s="1"/>
  <c r="G48" i="8"/>
  <c r="H45" i="8"/>
  <c r="H44" i="8"/>
  <c r="C44" i="8" s="1"/>
  <c r="H73" i="8"/>
  <c r="C93" i="8"/>
  <c r="D94" i="8"/>
  <c r="D96" i="8"/>
  <c r="C92" i="8"/>
  <c r="D93" i="8"/>
  <c r="E94" i="8"/>
  <c r="B21" i="7"/>
  <c r="D22" i="7"/>
  <c r="C20" i="7"/>
  <c r="C19" i="7"/>
  <c r="B16" i="7"/>
  <c r="D17" i="7"/>
  <c r="B18" i="7"/>
  <c r="C15" i="7"/>
  <c r="B13" i="7"/>
  <c r="C14" i="7"/>
  <c r="D12" i="7"/>
  <c r="D11" i="7"/>
  <c r="E94" i="7"/>
  <c r="D97" i="7"/>
  <c r="B152" i="7"/>
  <c r="B151" i="7"/>
  <c r="B150" i="7"/>
  <c r="B149" i="7"/>
  <c r="B148" i="7"/>
  <c r="B147" i="7"/>
  <c r="B146" i="7"/>
  <c r="B141" i="7"/>
  <c r="G139" i="7"/>
  <c r="G138" i="7"/>
  <c r="G137" i="7"/>
  <c r="G136" i="7"/>
  <c r="G135" i="7"/>
  <c r="G134" i="7"/>
  <c r="G133" i="7"/>
  <c r="G128" i="7"/>
  <c r="B108" i="7"/>
  <c r="B139" i="7" s="1"/>
  <c r="B166" i="7" s="1"/>
  <c r="B180" i="7" s="1"/>
  <c r="B107" i="7"/>
  <c r="B138" i="7" s="1"/>
  <c r="B165" i="7" s="1"/>
  <c r="B179" i="7" s="1"/>
  <c r="B106" i="7"/>
  <c r="B137" i="7" s="1"/>
  <c r="B164" i="7" s="1"/>
  <c r="B178" i="7" s="1"/>
  <c r="B105" i="7"/>
  <c r="B136" i="7" s="1"/>
  <c r="B163" i="7" s="1"/>
  <c r="B177" i="7" s="1"/>
  <c r="B104" i="7"/>
  <c r="B135" i="7" s="1"/>
  <c r="B162" i="7" s="1"/>
  <c r="B176" i="7" s="1"/>
  <c r="B103" i="7"/>
  <c r="B134" i="7" s="1"/>
  <c r="B161" i="7" s="1"/>
  <c r="B175" i="7" s="1"/>
  <c r="B102" i="7"/>
  <c r="B133" i="7" s="1"/>
  <c r="B160" i="7" s="1"/>
  <c r="B174" i="7" s="1"/>
  <c r="B101" i="7"/>
  <c r="B132" i="7" s="1"/>
  <c r="B159" i="7" s="1"/>
  <c r="B173" i="7" s="1"/>
  <c r="B100" i="7"/>
  <c r="B131" i="7" s="1"/>
  <c r="B158" i="7" s="1"/>
  <c r="B172" i="7" s="1"/>
  <c r="B99" i="7"/>
  <c r="B130" i="7" s="1"/>
  <c r="B157" i="7" s="1"/>
  <c r="B171" i="7" s="1"/>
  <c r="B98" i="7"/>
  <c r="B129" i="7" s="1"/>
  <c r="B156" i="7" s="1"/>
  <c r="B170" i="7" s="1"/>
  <c r="B97" i="7"/>
  <c r="B128" i="7" s="1"/>
  <c r="B155" i="7" s="1"/>
  <c r="B169" i="7" s="1"/>
  <c r="B86" i="7"/>
  <c r="B85" i="7"/>
  <c r="B84" i="7"/>
  <c r="B83" i="7"/>
  <c r="B82" i="7"/>
  <c r="B81" i="7"/>
  <c r="B80" i="7"/>
  <c r="B79" i="7"/>
  <c r="B78" i="7"/>
  <c r="B77" i="7"/>
  <c r="B76" i="7"/>
  <c r="G75" i="7"/>
  <c r="B75" i="7"/>
  <c r="B57" i="7"/>
  <c r="B56" i="7"/>
  <c r="B55" i="7"/>
  <c r="B54" i="7"/>
  <c r="B53" i="7"/>
  <c r="B52" i="7"/>
  <c r="H51" i="7"/>
  <c r="G51" i="7"/>
  <c r="B51" i="7"/>
  <c r="G50" i="7"/>
  <c r="B50" i="7"/>
  <c r="B49" i="7"/>
  <c r="B48" i="7"/>
  <c r="L47" i="7"/>
  <c r="M47" i="7" s="1"/>
  <c r="H47" i="7"/>
  <c r="G47" i="7"/>
  <c r="B47" i="7"/>
  <c r="L46" i="7"/>
  <c r="M46" i="7" s="1"/>
  <c r="G46" i="7"/>
  <c r="B46" i="7"/>
  <c r="L45" i="7"/>
  <c r="M45" i="7" s="1"/>
  <c r="G45" i="7"/>
  <c r="J30" i="7"/>
  <c r="J29" i="7"/>
  <c r="J28" i="7"/>
  <c r="B37" i="5"/>
  <c r="B36" i="5"/>
  <c r="B35" i="5"/>
  <c r="B34" i="5"/>
  <c r="D55" i="5"/>
  <c r="B114" i="6"/>
  <c r="B115" i="6"/>
  <c r="L100" i="6"/>
  <c r="L101" i="6"/>
  <c r="L102" i="6"/>
  <c r="L103" i="6"/>
  <c r="L104" i="6"/>
  <c r="L105" i="6"/>
  <c r="L106" i="6"/>
  <c r="L99" i="6"/>
  <c r="B83" i="6"/>
  <c r="B105" i="6" s="1"/>
  <c r="B124" i="6" s="1"/>
  <c r="B134" i="6" s="1"/>
  <c r="B84" i="6"/>
  <c r="B106" i="6" s="1"/>
  <c r="B125" i="6" s="1"/>
  <c r="B135" i="6" s="1"/>
  <c r="B65" i="6"/>
  <c r="B66" i="6"/>
  <c r="B44" i="6"/>
  <c r="B45" i="6"/>
  <c r="B113" i="6"/>
  <c r="B112" i="6"/>
  <c r="B111" i="6"/>
  <c r="B110" i="6"/>
  <c r="B109" i="6"/>
  <c r="B108" i="6"/>
  <c r="B82" i="6"/>
  <c r="B104" i="6" s="1"/>
  <c r="B123" i="6" s="1"/>
  <c r="B133" i="6" s="1"/>
  <c r="B81" i="6"/>
  <c r="B103" i="6" s="1"/>
  <c r="B122" i="6" s="1"/>
  <c r="B132" i="6" s="1"/>
  <c r="B80" i="6"/>
  <c r="B102" i="6" s="1"/>
  <c r="B121" i="6" s="1"/>
  <c r="B131" i="6" s="1"/>
  <c r="B79" i="6"/>
  <c r="B101" i="6" s="1"/>
  <c r="B120" i="6" s="1"/>
  <c r="B130" i="6" s="1"/>
  <c r="B78" i="6"/>
  <c r="B100" i="6" s="1"/>
  <c r="B119" i="6" s="1"/>
  <c r="B129" i="6" s="1"/>
  <c r="E97" i="6"/>
  <c r="D77" i="6"/>
  <c r="B77" i="6"/>
  <c r="B99" i="6" s="1"/>
  <c r="B118" i="6" s="1"/>
  <c r="B128" i="6" s="1"/>
  <c r="B64" i="6"/>
  <c r="B63" i="6"/>
  <c r="B62" i="6"/>
  <c r="B61" i="6"/>
  <c r="B60" i="6"/>
  <c r="B59" i="6"/>
  <c r="H43" i="6"/>
  <c r="G43" i="6"/>
  <c r="B43" i="6"/>
  <c r="G42" i="6"/>
  <c r="B42" i="6"/>
  <c r="B41" i="6"/>
  <c r="B40" i="6"/>
  <c r="L39" i="6"/>
  <c r="M39" i="6" s="1"/>
  <c r="H38" i="6" s="1"/>
  <c r="H42" i="6" s="1"/>
  <c r="H39" i="6"/>
  <c r="G39" i="6"/>
  <c r="B39" i="6"/>
  <c r="L38" i="6"/>
  <c r="M38" i="6" s="1"/>
  <c r="G38" i="6"/>
  <c r="B38" i="6"/>
  <c r="L37" i="6"/>
  <c r="M37" i="6" s="1"/>
  <c r="H37" i="6"/>
  <c r="G37" i="6"/>
  <c r="J26" i="6"/>
  <c r="J25" i="6"/>
  <c r="J24" i="6"/>
  <c r="L33" i="5"/>
  <c r="M33" i="5" s="1"/>
  <c r="B88" i="1"/>
  <c r="B89" i="1"/>
  <c r="B90" i="1"/>
  <c r="B91" i="1"/>
  <c r="B92" i="1"/>
  <c r="B78" i="5"/>
  <c r="B79" i="5"/>
  <c r="B80" i="5"/>
  <c r="B77" i="5"/>
  <c r="G72" i="5"/>
  <c r="B57" i="5"/>
  <c r="B75" i="5" s="1"/>
  <c r="B86" i="5" s="1"/>
  <c r="B92" i="5" s="1"/>
  <c r="B56" i="5"/>
  <c r="B74" i="5" s="1"/>
  <c r="B85" i="5" s="1"/>
  <c r="B91" i="5" s="1"/>
  <c r="B55" i="5"/>
  <c r="B73" i="5" s="1"/>
  <c r="B84" i="5" s="1"/>
  <c r="B90" i="5" s="1"/>
  <c r="D54" i="5"/>
  <c r="B72" i="5"/>
  <c r="B83" i="5" s="1"/>
  <c r="B89" i="5" s="1"/>
  <c r="H39" i="5"/>
  <c r="G39" i="5"/>
  <c r="G38" i="5"/>
  <c r="M35" i="5"/>
  <c r="H35" i="5"/>
  <c r="G35" i="5"/>
  <c r="L34" i="5"/>
  <c r="M34" i="5" s="1"/>
  <c r="G34" i="5"/>
  <c r="J22" i="5"/>
  <c r="J21" i="5"/>
  <c r="J20" i="5"/>
  <c r="C61" i="5" l="1"/>
  <c r="D48" i="9"/>
  <c r="C47" i="9"/>
  <c r="C46" i="9"/>
  <c r="I48" i="9"/>
  <c r="C48" i="9"/>
  <c r="C45" i="9"/>
  <c r="C49" i="9"/>
  <c r="E59" i="5"/>
  <c r="C51" i="9"/>
  <c r="C124" i="9" s="1"/>
  <c r="C45" i="8"/>
  <c r="D47" i="9"/>
  <c r="E48" i="8"/>
  <c r="K53" i="11"/>
  <c r="E142" i="12"/>
  <c r="E152" i="12" s="1"/>
  <c r="C142" i="12"/>
  <c r="C152" i="12" s="1"/>
  <c r="D62" i="12"/>
  <c r="D142" i="12"/>
  <c r="D152" i="12" s="1"/>
  <c r="D68" i="12"/>
  <c r="D64" i="12"/>
  <c r="D67" i="12"/>
  <c r="D63" i="12"/>
  <c r="D69" i="12"/>
  <c r="D65" i="12"/>
  <c r="C68" i="12"/>
  <c r="D66" i="12"/>
  <c r="C65" i="12"/>
  <c r="C69" i="12"/>
  <c r="C64" i="12"/>
  <c r="E67" i="12"/>
  <c r="C66" i="12"/>
  <c r="E65" i="12"/>
  <c r="E63" i="12"/>
  <c r="C62" i="12"/>
  <c r="E64" i="12"/>
  <c r="E68" i="12"/>
  <c r="E66" i="12"/>
  <c r="C63" i="12"/>
  <c r="C67" i="12"/>
  <c r="E69" i="12"/>
  <c r="E62" i="12"/>
  <c r="E26" i="12"/>
  <c r="C95" i="10"/>
  <c r="D95" i="10"/>
  <c r="E95" i="10"/>
  <c r="J93" i="10"/>
  <c r="K93" i="10" s="1"/>
  <c r="D138" i="10"/>
  <c r="E138" i="10"/>
  <c r="C138" i="10"/>
  <c r="D62" i="10"/>
  <c r="D71" i="10" s="1"/>
  <c r="E62" i="10"/>
  <c r="E171" i="10" s="1"/>
  <c r="C62" i="10"/>
  <c r="C101" i="10"/>
  <c r="D101" i="10"/>
  <c r="J99" i="10"/>
  <c r="K99" i="10" s="1"/>
  <c r="E101" i="10"/>
  <c r="E132" i="10"/>
  <c r="H81" i="6"/>
  <c r="H100" i="10"/>
  <c r="H138" i="10" s="1"/>
  <c r="H94" i="10"/>
  <c r="D132" i="10"/>
  <c r="C132" i="10"/>
  <c r="D50" i="9"/>
  <c r="D73" i="9"/>
  <c r="E73" i="9"/>
  <c r="I50" i="9"/>
  <c r="E44" i="9"/>
  <c r="E50" i="9"/>
  <c r="E45" i="9"/>
  <c r="D45" i="9"/>
  <c r="E71" i="9"/>
  <c r="E48" i="9"/>
  <c r="D71" i="9"/>
  <c r="D44" i="9"/>
  <c r="I49" i="9"/>
  <c r="D49" i="9"/>
  <c r="D46" i="9"/>
  <c r="E47" i="9"/>
  <c r="C71" i="9"/>
  <c r="E49" i="9"/>
  <c r="E46" i="9"/>
  <c r="D74" i="8"/>
  <c r="C74" i="8"/>
  <c r="E74" i="8"/>
  <c r="C48" i="8"/>
  <c r="C46" i="8"/>
  <c r="C49" i="8"/>
  <c r="D99" i="8"/>
  <c r="C99" i="8"/>
  <c r="E99" i="8"/>
  <c r="E71" i="8"/>
  <c r="D71" i="8"/>
  <c r="H49" i="8"/>
  <c r="D44" i="8"/>
  <c r="I49" i="8"/>
  <c r="D46" i="8"/>
  <c r="D49" i="8"/>
  <c r="D48" i="8"/>
  <c r="D50" i="8"/>
  <c r="D47" i="8"/>
  <c r="I50" i="8"/>
  <c r="E44" i="8"/>
  <c r="E46" i="8"/>
  <c r="E45" i="8"/>
  <c r="E50" i="8"/>
  <c r="D45" i="8"/>
  <c r="E47" i="8"/>
  <c r="H48" i="8"/>
  <c r="C47" i="8"/>
  <c r="C50" i="8"/>
  <c r="C126" i="7"/>
  <c r="E125" i="7"/>
  <c r="C125" i="7"/>
  <c r="D126" i="7"/>
  <c r="C124" i="7"/>
  <c r="D125" i="7"/>
  <c r="E126" i="7"/>
  <c r="D124" i="7"/>
  <c r="E124" i="7"/>
  <c r="E93" i="7"/>
  <c r="H45" i="7"/>
  <c r="H46" i="7"/>
  <c r="I46" i="7"/>
  <c r="D92" i="7"/>
  <c r="C94" i="7"/>
  <c r="E92" i="7"/>
  <c r="C93" i="7"/>
  <c r="D94" i="7"/>
  <c r="D93" i="7"/>
  <c r="I47" i="7"/>
  <c r="E45" i="7" s="1"/>
  <c r="I45" i="7"/>
  <c r="G49" i="7"/>
  <c r="E60" i="5"/>
  <c r="D61" i="5"/>
  <c r="J54" i="5"/>
  <c r="K54" i="5" s="1"/>
  <c r="E61" i="5"/>
  <c r="D68" i="5"/>
  <c r="E68" i="5"/>
  <c r="I38" i="6"/>
  <c r="D43" i="6" s="1"/>
  <c r="I37" i="6"/>
  <c r="C37" i="6" s="1"/>
  <c r="I39" i="6"/>
  <c r="E45" i="6" s="1"/>
  <c r="E96" i="6"/>
  <c r="C97" i="6"/>
  <c r="H41" i="6"/>
  <c r="D95" i="6"/>
  <c r="C96" i="6"/>
  <c r="E95" i="6"/>
  <c r="H77" i="6"/>
  <c r="H99" i="6" s="1"/>
  <c r="D97" i="6"/>
  <c r="D96" i="6"/>
  <c r="G41" i="6"/>
  <c r="H33" i="5"/>
  <c r="C33" i="5" s="1"/>
  <c r="I35" i="5"/>
  <c r="C70" i="5"/>
  <c r="H54" i="5"/>
  <c r="H72" i="5" s="1"/>
  <c r="E69" i="5"/>
  <c r="H55" i="5"/>
  <c r="C69" i="5"/>
  <c r="D70" i="5"/>
  <c r="D69" i="5"/>
  <c r="E70" i="5"/>
  <c r="E26" i="11" l="1"/>
  <c r="C63" i="11"/>
  <c r="C99" i="7"/>
  <c r="C65" i="10"/>
  <c r="C171" i="10"/>
  <c r="C59" i="9"/>
  <c r="D51" i="9"/>
  <c r="D60" i="9" s="1"/>
  <c r="C56" i="9"/>
  <c r="C60" i="9"/>
  <c r="E51" i="9"/>
  <c r="E124" i="9" s="1"/>
  <c r="C57" i="9"/>
  <c r="C54" i="9"/>
  <c r="C55" i="9"/>
  <c r="D51" i="8"/>
  <c r="D118" i="8" s="1"/>
  <c r="C51" i="8"/>
  <c r="C57" i="8" s="1"/>
  <c r="E51" i="8"/>
  <c r="E54" i="8" s="1"/>
  <c r="D52" i="7"/>
  <c r="J63" i="12"/>
  <c r="K63" i="12" s="1"/>
  <c r="H63" i="12"/>
  <c r="J62" i="12"/>
  <c r="K62" i="12" s="1"/>
  <c r="H62" i="12"/>
  <c r="C110" i="12"/>
  <c r="C132" i="12"/>
  <c r="E110" i="12"/>
  <c r="E132" i="12"/>
  <c r="H64" i="12"/>
  <c r="J64" i="12"/>
  <c r="K64" i="12" s="1"/>
  <c r="J68" i="12"/>
  <c r="K68" i="12" s="1"/>
  <c r="H68" i="12"/>
  <c r="D110" i="12"/>
  <c r="D132" i="12"/>
  <c r="H69" i="12"/>
  <c r="J69" i="12"/>
  <c r="K69" i="12" s="1"/>
  <c r="H11" i="12"/>
  <c r="G11" i="12"/>
  <c r="F11" i="12"/>
  <c r="J67" i="12"/>
  <c r="K67" i="12" s="1"/>
  <c r="H67" i="12"/>
  <c r="H66" i="12"/>
  <c r="J66" i="12"/>
  <c r="K66" i="12" s="1"/>
  <c r="J65" i="12"/>
  <c r="K65" i="12" s="1"/>
  <c r="H65" i="12"/>
  <c r="E142" i="11"/>
  <c r="E152" i="11" s="1"/>
  <c r="D65" i="11"/>
  <c r="D68" i="11"/>
  <c r="D63" i="11"/>
  <c r="D69" i="11"/>
  <c r="D66" i="11"/>
  <c r="D64" i="11"/>
  <c r="D142" i="11"/>
  <c r="D152" i="11" s="1"/>
  <c r="C142" i="11"/>
  <c r="C152" i="11" s="1"/>
  <c r="D67" i="11"/>
  <c r="E62" i="11"/>
  <c r="D62" i="11"/>
  <c r="C67" i="11"/>
  <c r="E68" i="11"/>
  <c r="C69" i="11"/>
  <c r="C65" i="11"/>
  <c r="C68" i="11"/>
  <c r="E69" i="11"/>
  <c r="E67" i="11"/>
  <c r="E66" i="11"/>
  <c r="C66" i="11"/>
  <c r="E64" i="11"/>
  <c r="C64" i="11"/>
  <c r="E65" i="11"/>
  <c r="E63" i="11"/>
  <c r="C55" i="7"/>
  <c r="J70" i="9"/>
  <c r="K70" i="9" s="1"/>
  <c r="D96" i="10"/>
  <c r="E96" i="10"/>
  <c r="E139" i="10"/>
  <c r="D139" i="10"/>
  <c r="C139" i="10"/>
  <c r="C96" i="10"/>
  <c r="J94" i="10"/>
  <c r="K94" i="10" s="1"/>
  <c r="D70" i="10"/>
  <c r="D77" i="10"/>
  <c r="D72" i="10"/>
  <c r="D68" i="10"/>
  <c r="D73" i="10"/>
  <c r="E65" i="10"/>
  <c r="D75" i="10"/>
  <c r="D69" i="10"/>
  <c r="E70" i="10"/>
  <c r="E74" i="10"/>
  <c r="E75" i="10"/>
  <c r="D65" i="10"/>
  <c r="D67" i="10"/>
  <c r="D66" i="10"/>
  <c r="D171" i="10"/>
  <c r="D76" i="10"/>
  <c r="D74" i="10"/>
  <c r="E77" i="10"/>
  <c r="E66" i="10"/>
  <c r="E73" i="10"/>
  <c r="E76" i="10"/>
  <c r="E72" i="10"/>
  <c r="E67" i="10"/>
  <c r="E71" i="10"/>
  <c r="E68" i="10"/>
  <c r="E69" i="10"/>
  <c r="C71" i="10"/>
  <c r="C70" i="10"/>
  <c r="C69" i="10"/>
  <c r="C66" i="10"/>
  <c r="C73" i="10"/>
  <c r="C72" i="10"/>
  <c r="C76" i="10"/>
  <c r="C74" i="10"/>
  <c r="C77" i="10"/>
  <c r="C75" i="10"/>
  <c r="C67" i="10"/>
  <c r="C68" i="10"/>
  <c r="J137" i="10"/>
  <c r="K137" i="10" s="1"/>
  <c r="J100" i="10"/>
  <c r="K100" i="10" s="1"/>
  <c r="E102" i="10"/>
  <c r="C102" i="10"/>
  <c r="D102" i="10"/>
  <c r="D42" i="6"/>
  <c r="E38" i="6"/>
  <c r="D37" i="6"/>
  <c r="D40" i="6"/>
  <c r="D68" i="6"/>
  <c r="E36" i="5"/>
  <c r="E37" i="5"/>
  <c r="E34" i="5"/>
  <c r="E33" i="5"/>
  <c r="E35" i="5"/>
  <c r="D36" i="5"/>
  <c r="D37" i="5"/>
  <c r="D33" i="5"/>
  <c r="D34" i="5"/>
  <c r="D35" i="5"/>
  <c r="C36" i="5"/>
  <c r="C37" i="5"/>
  <c r="C35" i="5"/>
  <c r="C133" i="10"/>
  <c r="E133" i="10"/>
  <c r="H95" i="10"/>
  <c r="D133" i="10"/>
  <c r="H132" i="10"/>
  <c r="J131" i="10"/>
  <c r="K131" i="10" s="1"/>
  <c r="E105" i="9"/>
  <c r="C105" i="9"/>
  <c r="D105" i="9"/>
  <c r="C72" i="9"/>
  <c r="D72" i="9"/>
  <c r="H73" i="9"/>
  <c r="D74" i="9"/>
  <c r="E74" i="9"/>
  <c r="C74" i="9"/>
  <c r="E103" i="9"/>
  <c r="H71" i="9"/>
  <c r="D103" i="9"/>
  <c r="C103" i="9"/>
  <c r="E72" i="9"/>
  <c r="C75" i="8"/>
  <c r="E75" i="8"/>
  <c r="D75" i="8"/>
  <c r="J70" i="8"/>
  <c r="K70" i="8" s="1"/>
  <c r="C72" i="8"/>
  <c r="H99" i="8"/>
  <c r="E72" i="8"/>
  <c r="E97" i="8"/>
  <c r="D72" i="8"/>
  <c r="D97" i="8"/>
  <c r="H71" i="8"/>
  <c r="C97" i="8"/>
  <c r="D51" i="7"/>
  <c r="D45" i="7"/>
  <c r="C51" i="7"/>
  <c r="C139" i="7"/>
  <c r="C128" i="7"/>
  <c r="E47" i="7"/>
  <c r="E51" i="7"/>
  <c r="E48" i="7"/>
  <c r="D56" i="7"/>
  <c r="D48" i="7"/>
  <c r="D47" i="7"/>
  <c r="H50" i="7"/>
  <c r="D55" i="7"/>
  <c r="I50" i="7"/>
  <c r="D50" i="7"/>
  <c r="I51" i="7"/>
  <c r="H49" i="7"/>
  <c r="C45" i="7"/>
  <c r="C46" i="7"/>
  <c r="E46" i="7"/>
  <c r="D54" i="7"/>
  <c r="E50" i="7"/>
  <c r="D46" i="7"/>
  <c r="C48" i="7"/>
  <c r="C49" i="7"/>
  <c r="E53" i="7"/>
  <c r="C53" i="7"/>
  <c r="C57" i="7"/>
  <c r="E56" i="7"/>
  <c r="C50" i="7"/>
  <c r="C52" i="7"/>
  <c r="C56" i="7"/>
  <c r="D53" i="7"/>
  <c r="D49" i="7"/>
  <c r="E55" i="7"/>
  <c r="E52" i="7"/>
  <c r="E49" i="7"/>
  <c r="C47" i="7"/>
  <c r="C54" i="7"/>
  <c r="D57" i="7"/>
  <c r="E54" i="7"/>
  <c r="E57" i="7"/>
  <c r="E103" i="6"/>
  <c r="C38" i="6"/>
  <c r="D45" i="6"/>
  <c r="D103" i="6"/>
  <c r="C99" i="6"/>
  <c r="E99" i="6"/>
  <c r="D99" i="6"/>
  <c r="C103" i="6"/>
  <c r="D38" i="6"/>
  <c r="D41" i="6"/>
  <c r="D44" i="6"/>
  <c r="D39" i="6"/>
  <c r="D56" i="5"/>
  <c r="E56" i="5"/>
  <c r="C73" i="5"/>
  <c r="C78" i="5" s="1"/>
  <c r="E72" i="5"/>
  <c r="E77" i="5" s="1"/>
  <c r="D72" i="5"/>
  <c r="D77" i="5" s="1"/>
  <c r="C43" i="6"/>
  <c r="C39" i="6"/>
  <c r="C41" i="6"/>
  <c r="C44" i="6"/>
  <c r="E37" i="6"/>
  <c r="E44" i="6"/>
  <c r="C45" i="6"/>
  <c r="E41" i="6"/>
  <c r="I42" i="6"/>
  <c r="E40" i="6"/>
  <c r="C40" i="6"/>
  <c r="C42" i="6"/>
  <c r="I43" i="6"/>
  <c r="E39" i="6"/>
  <c r="E42" i="6"/>
  <c r="E43" i="6"/>
  <c r="D73" i="5"/>
  <c r="E73" i="5"/>
  <c r="B147" i="3"/>
  <c r="B148" i="3"/>
  <c r="B149" i="3"/>
  <c r="B150" i="3"/>
  <c r="B151" i="3"/>
  <c r="B152" i="3"/>
  <c r="G134" i="3"/>
  <c r="G135" i="3"/>
  <c r="G136" i="3"/>
  <c r="G137" i="3"/>
  <c r="G138" i="3"/>
  <c r="G139" i="3"/>
  <c r="G107" i="3"/>
  <c r="D101" i="8" l="1"/>
  <c r="D108" i="8" s="1"/>
  <c r="E101" i="8"/>
  <c r="E108" i="8" s="1"/>
  <c r="C101" i="8"/>
  <c r="C108" i="8" s="1"/>
  <c r="D57" i="9"/>
  <c r="D55" i="9"/>
  <c r="D54" i="9"/>
  <c r="E58" i="8"/>
  <c r="D56" i="8"/>
  <c r="D58" i="8"/>
  <c r="D57" i="8"/>
  <c r="D59" i="8"/>
  <c r="D54" i="8"/>
  <c r="C58" i="8"/>
  <c r="D60" i="8"/>
  <c r="E57" i="8"/>
  <c r="E60" i="9"/>
  <c r="E59" i="9"/>
  <c r="D56" i="9"/>
  <c r="E54" i="9"/>
  <c r="D59" i="9"/>
  <c r="E56" i="9"/>
  <c r="H56" i="9" s="1"/>
  <c r="E57" i="9"/>
  <c r="H57" i="9" s="1"/>
  <c r="E55" i="9"/>
  <c r="H55" i="9" s="1"/>
  <c r="H60" i="9"/>
  <c r="D124" i="9"/>
  <c r="D58" i="9"/>
  <c r="E58" i="9"/>
  <c r="H58" i="9" s="1"/>
  <c r="E56" i="8"/>
  <c r="E55" i="8"/>
  <c r="C55" i="8"/>
  <c r="E60" i="8"/>
  <c r="C56" i="8"/>
  <c r="E118" i="8"/>
  <c r="E59" i="8"/>
  <c r="C59" i="8"/>
  <c r="D55" i="8"/>
  <c r="C118" i="8"/>
  <c r="C54" i="8"/>
  <c r="H54" i="8" s="1"/>
  <c r="E25" i="8" s="1"/>
  <c r="C60" i="8"/>
  <c r="J73" i="9"/>
  <c r="K73" i="9" s="1"/>
  <c r="J69" i="11"/>
  <c r="K69" i="11" s="1"/>
  <c r="D110" i="11"/>
  <c r="D132" i="11"/>
  <c r="C110" i="11"/>
  <c r="C132" i="11"/>
  <c r="E110" i="11"/>
  <c r="E132" i="11"/>
  <c r="C89" i="12"/>
  <c r="C79" i="12"/>
  <c r="D89" i="12"/>
  <c r="D102" i="12" s="1"/>
  <c r="D111" i="12" s="1"/>
  <c r="D77" i="12"/>
  <c r="E89" i="12"/>
  <c r="E102" i="12" s="1"/>
  <c r="E111" i="12" s="1"/>
  <c r="E93" i="12"/>
  <c r="E106" i="12" s="1"/>
  <c r="E115" i="12" s="1"/>
  <c r="D92" i="12"/>
  <c r="D105" i="12" s="1"/>
  <c r="D114" i="12" s="1"/>
  <c r="D93" i="12"/>
  <c r="D106" i="12" s="1"/>
  <c r="D115" i="12" s="1"/>
  <c r="C92" i="12"/>
  <c r="D76" i="12"/>
  <c r="E92" i="12"/>
  <c r="E105" i="12" s="1"/>
  <c r="E114" i="12" s="1"/>
  <c r="C93" i="12"/>
  <c r="H132" i="12"/>
  <c r="B22" i="12" s="1"/>
  <c r="H110" i="12"/>
  <c r="N62" i="12"/>
  <c r="E58" i="7"/>
  <c r="E63" i="7" s="1"/>
  <c r="D58" i="7"/>
  <c r="D168" i="7" s="1"/>
  <c r="C58" i="7"/>
  <c r="C168" i="7" s="1"/>
  <c r="J67" i="11"/>
  <c r="K67" i="11" s="1"/>
  <c r="H67" i="11"/>
  <c r="H65" i="11"/>
  <c r="J65" i="11"/>
  <c r="K65" i="11" s="1"/>
  <c r="H66" i="11"/>
  <c r="J66" i="11"/>
  <c r="K66" i="11" s="1"/>
  <c r="H63" i="11"/>
  <c r="J63" i="11"/>
  <c r="K63" i="11" s="1"/>
  <c r="H69" i="11"/>
  <c r="H68" i="11"/>
  <c r="J68" i="11"/>
  <c r="K68" i="11" s="1"/>
  <c r="J64" i="11"/>
  <c r="K64" i="11" s="1"/>
  <c r="H64" i="11"/>
  <c r="J62" i="11"/>
  <c r="K62" i="11" s="1"/>
  <c r="H62" i="11"/>
  <c r="F11" i="11"/>
  <c r="H11" i="11"/>
  <c r="G11" i="11"/>
  <c r="C74" i="6"/>
  <c r="E74" i="6"/>
  <c r="E72" i="6"/>
  <c r="D73" i="6"/>
  <c r="E73" i="6"/>
  <c r="D74" i="6"/>
  <c r="E38" i="5"/>
  <c r="E88" i="5" s="1"/>
  <c r="C38" i="5"/>
  <c r="C46" i="5" s="1"/>
  <c r="D38" i="5"/>
  <c r="D88" i="5" s="1"/>
  <c r="E97" i="10"/>
  <c r="D97" i="10"/>
  <c r="C97" i="10"/>
  <c r="E140" i="10"/>
  <c r="C140" i="10"/>
  <c r="D140" i="10"/>
  <c r="H66" i="10"/>
  <c r="H75" i="10"/>
  <c r="H77" i="10"/>
  <c r="H70" i="10"/>
  <c r="H65" i="10"/>
  <c r="E31" i="10" s="1"/>
  <c r="H67" i="10"/>
  <c r="H76" i="10"/>
  <c r="H72" i="10"/>
  <c r="H69" i="10"/>
  <c r="H74" i="10"/>
  <c r="H71" i="10"/>
  <c r="H73" i="10"/>
  <c r="H68" i="10"/>
  <c r="H10" i="10"/>
  <c r="F10" i="10"/>
  <c r="G10" i="10"/>
  <c r="D103" i="10"/>
  <c r="E103" i="10"/>
  <c r="J132" i="10"/>
  <c r="K132" i="10" s="1"/>
  <c r="H96" i="10"/>
  <c r="E134" i="10"/>
  <c r="C134" i="10"/>
  <c r="D134" i="10"/>
  <c r="J95" i="10"/>
  <c r="K95" i="10" s="1"/>
  <c r="J101" i="10"/>
  <c r="J138" i="10"/>
  <c r="K138" i="10" s="1"/>
  <c r="E46" i="6"/>
  <c r="D46" i="6"/>
  <c r="D53" i="6" s="1"/>
  <c r="C46" i="6"/>
  <c r="C127" i="6" s="1"/>
  <c r="H133" i="10"/>
  <c r="H105" i="9"/>
  <c r="D106" i="9"/>
  <c r="E106" i="9"/>
  <c r="D104" i="9"/>
  <c r="H74" i="9"/>
  <c r="D75" i="9"/>
  <c r="C106" i="9"/>
  <c r="J72" i="9"/>
  <c r="K72" i="9" s="1"/>
  <c r="E75" i="9"/>
  <c r="C75" i="9"/>
  <c r="C104" i="9"/>
  <c r="E104" i="9"/>
  <c r="J71" i="9"/>
  <c r="K71" i="9" s="1"/>
  <c r="H103" i="9"/>
  <c r="J102" i="9"/>
  <c r="K102" i="9" s="1"/>
  <c r="H72" i="9"/>
  <c r="J72" i="8"/>
  <c r="K72" i="8" s="1"/>
  <c r="J71" i="8"/>
  <c r="K71" i="8" s="1"/>
  <c r="C98" i="8"/>
  <c r="J96" i="8"/>
  <c r="K96" i="8" s="1"/>
  <c r="E98" i="8"/>
  <c r="H72" i="8"/>
  <c r="D98" i="8"/>
  <c r="H97" i="8"/>
  <c r="H108" i="7"/>
  <c r="H139" i="7" s="1"/>
  <c r="H97" i="7"/>
  <c r="H128" i="7" s="1"/>
  <c r="E57" i="5"/>
  <c r="D57" i="5"/>
  <c r="H103" i="6"/>
  <c r="H73" i="5"/>
  <c r="J72" i="5"/>
  <c r="K72" i="5" s="1"/>
  <c r="D93" i="3"/>
  <c r="D103" i="3" s="1"/>
  <c r="D97" i="3"/>
  <c r="D96" i="3"/>
  <c r="D95" i="3"/>
  <c r="D94" i="3"/>
  <c r="E104" i="3"/>
  <c r="G75" i="3"/>
  <c r="H54" i="9" l="1"/>
  <c r="E25" i="9" s="1"/>
  <c r="H59" i="9"/>
  <c r="H57" i="8"/>
  <c r="H58" i="8"/>
  <c r="H56" i="8"/>
  <c r="H60" i="8"/>
  <c r="H59" i="8"/>
  <c r="H55" i="8"/>
  <c r="D67" i="7"/>
  <c r="H10" i="9"/>
  <c r="F10" i="9"/>
  <c r="G10" i="9"/>
  <c r="K55" i="9"/>
  <c r="E24" i="9" s="1"/>
  <c r="H10" i="8"/>
  <c r="F10" i="8"/>
  <c r="G10" i="8"/>
  <c r="E62" i="7"/>
  <c r="E71" i="7"/>
  <c r="E67" i="7"/>
  <c r="D62" i="7"/>
  <c r="D73" i="7"/>
  <c r="D63" i="7"/>
  <c r="C69" i="7"/>
  <c r="E73" i="7"/>
  <c r="E70" i="7"/>
  <c r="C64" i="7"/>
  <c r="C70" i="7"/>
  <c r="D72" i="7"/>
  <c r="E72" i="7"/>
  <c r="C63" i="7"/>
  <c r="C65" i="7"/>
  <c r="E168" i="7"/>
  <c r="H10" i="7" s="1"/>
  <c r="E61" i="7"/>
  <c r="C71" i="7"/>
  <c r="D66" i="7"/>
  <c r="C68" i="7"/>
  <c r="D64" i="7"/>
  <c r="D68" i="7"/>
  <c r="C73" i="7"/>
  <c r="D61" i="7"/>
  <c r="D71" i="7"/>
  <c r="D69" i="7"/>
  <c r="E69" i="7"/>
  <c r="C66" i="7"/>
  <c r="H66" i="7" s="1"/>
  <c r="C67" i="7"/>
  <c r="C62" i="7"/>
  <c r="D65" i="7"/>
  <c r="C61" i="7"/>
  <c r="E64" i="7"/>
  <c r="C72" i="7"/>
  <c r="E66" i="7"/>
  <c r="D70" i="7"/>
  <c r="E68" i="7"/>
  <c r="E65" i="7"/>
  <c r="C105" i="12"/>
  <c r="H92" i="12"/>
  <c r="J88" i="12"/>
  <c r="K88" i="12" s="1"/>
  <c r="J89" i="12"/>
  <c r="K89" i="12" s="1"/>
  <c r="C102" i="12"/>
  <c r="J90" i="12"/>
  <c r="K90" i="12" s="1"/>
  <c r="H89" i="12"/>
  <c r="C106" i="12"/>
  <c r="H93" i="12"/>
  <c r="C81" i="12"/>
  <c r="D79" i="12"/>
  <c r="D81" i="12"/>
  <c r="E81" i="12"/>
  <c r="C57" i="6"/>
  <c r="D44" i="5"/>
  <c r="D46" i="5"/>
  <c r="D42" i="5"/>
  <c r="C45" i="5"/>
  <c r="E46" i="5"/>
  <c r="E44" i="5"/>
  <c r="D43" i="5"/>
  <c r="E45" i="5"/>
  <c r="C88" i="5"/>
  <c r="G10" i="5" s="1"/>
  <c r="D45" i="5"/>
  <c r="E43" i="5"/>
  <c r="E42" i="5"/>
  <c r="C44" i="5"/>
  <c r="D92" i="11"/>
  <c r="D105" i="11" s="1"/>
  <c r="D114" i="11" s="1"/>
  <c r="D93" i="11"/>
  <c r="D106" i="11" s="1"/>
  <c r="D115" i="11" s="1"/>
  <c r="E93" i="11"/>
  <c r="E106" i="11" s="1"/>
  <c r="E115" i="11" s="1"/>
  <c r="E92" i="11"/>
  <c r="E105" i="11" s="1"/>
  <c r="E114" i="11" s="1"/>
  <c r="D77" i="11"/>
  <c r="E89" i="11"/>
  <c r="E102" i="11" s="1"/>
  <c r="E111" i="11" s="1"/>
  <c r="C102" i="11"/>
  <c r="D89" i="11"/>
  <c r="D102" i="11" s="1"/>
  <c r="D111" i="11" s="1"/>
  <c r="N62" i="11"/>
  <c r="H132" i="11"/>
  <c r="B22" i="11" s="1"/>
  <c r="H110" i="11"/>
  <c r="D78" i="6"/>
  <c r="D82" i="6"/>
  <c r="E82" i="6"/>
  <c r="E78" i="6"/>
  <c r="C55" i="6"/>
  <c r="C49" i="6"/>
  <c r="C54" i="6"/>
  <c r="D57" i="6"/>
  <c r="D127" i="6"/>
  <c r="J75" i="9"/>
  <c r="K75" i="9" s="1"/>
  <c r="E57" i="6"/>
  <c r="E127" i="6"/>
  <c r="J139" i="10"/>
  <c r="K139" i="10" s="1"/>
  <c r="C98" i="10"/>
  <c r="D98" i="10"/>
  <c r="E98" i="10"/>
  <c r="K66" i="10"/>
  <c r="H97" i="10"/>
  <c r="D135" i="10"/>
  <c r="E135" i="10"/>
  <c r="C135" i="10"/>
  <c r="H134" i="10"/>
  <c r="J96" i="10"/>
  <c r="K96" i="10" s="1"/>
  <c r="J133" i="10"/>
  <c r="K133" i="10" s="1"/>
  <c r="E49" i="6"/>
  <c r="E56" i="6"/>
  <c r="E54" i="6"/>
  <c r="D50" i="6"/>
  <c r="E52" i="6"/>
  <c r="E51" i="6"/>
  <c r="D56" i="6"/>
  <c r="E55" i="6"/>
  <c r="E50" i="6"/>
  <c r="E53" i="6"/>
  <c r="C53" i="6"/>
  <c r="D54" i="6"/>
  <c r="D55" i="6"/>
  <c r="C51" i="6"/>
  <c r="D49" i="6"/>
  <c r="D51" i="6"/>
  <c r="D52" i="6"/>
  <c r="C56" i="6"/>
  <c r="C50" i="6"/>
  <c r="C52" i="6"/>
  <c r="C107" i="9"/>
  <c r="D107" i="9"/>
  <c r="E107" i="9"/>
  <c r="H75" i="9"/>
  <c r="H107" i="9" s="1"/>
  <c r="H106" i="9"/>
  <c r="J74" i="9"/>
  <c r="K74" i="9" s="1"/>
  <c r="J105" i="9"/>
  <c r="K105" i="9" s="1"/>
  <c r="J103" i="9"/>
  <c r="K103" i="9" s="1"/>
  <c r="H104" i="9"/>
  <c r="J104" i="9"/>
  <c r="K104" i="9" s="1"/>
  <c r="J98" i="8"/>
  <c r="K98" i="8" s="1"/>
  <c r="J97" i="8"/>
  <c r="K97" i="8" s="1"/>
  <c r="H98" i="8"/>
  <c r="H63" i="7"/>
  <c r="H73" i="7"/>
  <c r="J108" i="7"/>
  <c r="K108" i="7" s="1"/>
  <c r="E74" i="5"/>
  <c r="C74" i="5"/>
  <c r="H56" i="5"/>
  <c r="D74" i="5"/>
  <c r="J55" i="5"/>
  <c r="K55" i="5" s="1"/>
  <c r="E75" i="5"/>
  <c r="J56" i="5"/>
  <c r="K56" i="5" s="1"/>
  <c r="J57" i="5"/>
  <c r="K57" i="5" s="1"/>
  <c r="H57" i="5"/>
  <c r="D75" i="5"/>
  <c r="C75" i="5"/>
  <c r="H97" i="3"/>
  <c r="H136" i="3" s="1"/>
  <c r="H96" i="3"/>
  <c r="H135" i="3" s="1"/>
  <c r="D102" i="3"/>
  <c r="E102" i="3"/>
  <c r="D104" i="3"/>
  <c r="J95" i="3"/>
  <c r="K95" i="3" s="1"/>
  <c r="M94" i="3"/>
  <c r="N94" i="3" s="1"/>
  <c r="J96" i="3"/>
  <c r="K96" i="3" s="1"/>
  <c r="H93" i="3"/>
  <c r="C102" i="3"/>
  <c r="M95" i="3"/>
  <c r="N95" i="3" s="1"/>
  <c r="J94" i="3"/>
  <c r="K94" i="3" s="1"/>
  <c r="H95" i="3"/>
  <c r="H134" i="3" s="1"/>
  <c r="E103" i="3"/>
  <c r="C124" i="3"/>
  <c r="C103" i="3"/>
  <c r="H94" i="3"/>
  <c r="M93" i="3"/>
  <c r="N93" i="3" s="1"/>
  <c r="C104" i="3"/>
  <c r="C106" i="3"/>
  <c r="J93" i="3"/>
  <c r="K55" i="8" l="1"/>
  <c r="E24" i="8" s="1"/>
  <c r="H62" i="7"/>
  <c r="H70" i="7"/>
  <c r="E30" i="10"/>
  <c r="C159" i="10"/>
  <c r="H67" i="7"/>
  <c r="H61" i="7"/>
  <c r="E31" i="7" s="1"/>
  <c r="H65" i="7"/>
  <c r="H72" i="7"/>
  <c r="H68" i="7"/>
  <c r="H71" i="7"/>
  <c r="H69" i="7"/>
  <c r="H64" i="7"/>
  <c r="F10" i="7"/>
  <c r="G10" i="7"/>
  <c r="E85" i="12"/>
  <c r="C85" i="12"/>
  <c r="D83" i="12"/>
  <c r="C83" i="12"/>
  <c r="E83" i="12"/>
  <c r="E127" i="12"/>
  <c r="D127" i="12"/>
  <c r="C114" i="12"/>
  <c r="H114" i="12" s="1"/>
  <c r="C127" i="12"/>
  <c r="H105" i="12"/>
  <c r="J101" i="12"/>
  <c r="K101" i="12" s="1"/>
  <c r="E84" i="12"/>
  <c r="D84" i="12"/>
  <c r="C84" i="12"/>
  <c r="D85" i="12"/>
  <c r="E128" i="12"/>
  <c r="H106" i="12"/>
  <c r="D128" i="12"/>
  <c r="C115" i="12"/>
  <c r="H115" i="12" s="1"/>
  <c r="C128" i="12"/>
  <c r="E124" i="12"/>
  <c r="D124" i="12"/>
  <c r="C111" i="12"/>
  <c r="H111" i="12" s="1"/>
  <c r="J102" i="12"/>
  <c r="K102" i="12" s="1"/>
  <c r="C124" i="12"/>
  <c r="J103" i="12"/>
  <c r="K103" i="12" s="1"/>
  <c r="H102" i="12"/>
  <c r="H57" i="6"/>
  <c r="H46" i="5"/>
  <c r="H45" i="5"/>
  <c r="H44" i="5"/>
  <c r="H10" i="5"/>
  <c r="F10" i="5"/>
  <c r="H42" i="5"/>
  <c r="C106" i="11"/>
  <c r="C105" i="11"/>
  <c r="H93" i="11"/>
  <c r="J89" i="11"/>
  <c r="K89" i="11" s="1"/>
  <c r="J90" i="11"/>
  <c r="K90" i="11" s="1"/>
  <c r="H89" i="11"/>
  <c r="K88" i="11"/>
  <c r="H92" i="11"/>
  <c r="D79" i="11"/>
  <c r="C81" i="11"/>
  <c r="E81" i="11"/>
  <c r="D81" i="11"/>
  <c r="E83" i="6"/>
  <c r="D79" i="6"/>
  <c r="E79" i="6"/>
  <c r="D83" i="6"/>
  <c r="C83" i="6"/>
  <c r="H49" i="6"/>
  <c r="E27" i="6" s="1"/>
  <c r="H56" i="6"/>
  <c r="H55" i="6"/>
  <c r="H54" i="6"/>
  <c r="H10" i="6"/>
  <c r="G10" i="6"/>
  <c r="F10" i="6"/>
  <c r="J98" i="10"/>
  <c r="K98" i="10" s="1"/>
  <c r="E136" i="10"/>
  <c r="C136" i="10"/>
  <c r="D136" i="10"/>
  <c r="J134" i="10"/>
  <c r="K134" i="10" s="1"/>
  <c r="C80" i="10"/>
  <c r="E82" i="10"/>
  <c r="E116" i="10" s="1"/>
  <c r="D83" i="10"/>
  <c r="D148" i="10" s="1"/>
  <c r="D80" i="10"/>
  <c r="D145" i="10" s="1"/>
  <c r="C161" i="10"/>
  <c r="C175" i="10" s="1"/>
  <c r="C89" i="10"/>
  <c r="D88" i="10"/>
  <c r="C86" i="10"/>
  <c r="E88" i="10"/>
  <c r="C165" i="10"/>
  <c r="C179" i="10" s="1"/>
  <c r="E165" i="10"/>
  <c r="E179" i="10" s="1"/>
  <c r="C173" i="10"/>
  <c r="D162" i="10"/>
  <c r="D176" i="10" s="1"/>
  <c r="E79" i="10"/>
  <c r="E113" i="10" s="1"/>
  <c r="E144" i="10" s="1"/>
  <c r="C83" i="10"/>
  <c r="C148" i="10" s="1"/>
  <c r="E161" i="10"/>
  <c r="E175" i="10" s="1"/>
  <c r="D90" i="10"/>
  <c r="E87" i="10"/>
  <c r="C90" i="10"/>
  <c r="C164" i="10"/>
  <c r="C178" i="10" s="1"/>
  <c r="E164" i="10"/>
  <c r="E178" i="10" s="1"/>
  <c r="C79" i="10"/>
  <c r="E83" i="10"/>
  <c r="E117" i="10" s="1"/>
  <c r="E162" i="10"/>
  <c r="E176" i="10" s="1"/>
  <c r="E80" i="10"/>
  <c r="E114" i="10" s="1"/>
  <c r="C81" i="10"/>
  <c r="C115" i="10" s="1"/>
  <c r="E158" i="10"/>
  <c r="E85" i="10"/>
  <c r="D89" i="10"/>
  <c r="D123" i="10" s="1"/>
  <c r="C87" i="10"/>
  <c r="D167" i="10"/>
  <c r="D181" i="10" s="1"/>
  <c r="D166" i="10"/>
  <c r="D180" i="10" s="1"/>
  <c r="D160" i="10"/>
  <c r="D174" i="10" s="1"/>
  <c r="C160" i="10"/>
  <c r="C174" i="10" s="1"/>
  <c r="D159" i="10"/>
  <c r="D173" i="10" s="1"/>
  <c r="C82" i="10"/>
  <c r="C147" i="10" s="1"/>
  <c r="D84" i="10"/>
  <c r="D118" i="10" s="1"/>
  <c r="E81" i="10"/>
  <c r="E115" i="10" s="1"/>
  <c r="D158" i="10"/>
  <c r="C158" i="10"/>
  <c r="D86" i="10"/>
  <c r="E90" i="10"/>
  <c r="D85" i="10"/>
  <c r="D164" i="10"/>
  <c r="D178" i="10" s="1"/>
  <c r="E160" i="10"/>
  <c r="E174" i="10" s="1"/>
  <c r="E159" i="10"/>
  <c r="E173" i="10" s="1"/>
  <c r="E84" i="10"/>
  <c r="E118" i="10" s="1"/>
  <c r="C84" i="10"/>
  <c r="C118" i="10" s="1"/>
  <c r="D79" i="10"/>
  <c r="D113" i="10" s="1"/>
  <c r="D144" i="10" s="1"/>
  <c r="D82" i="10"/>
  <c r="D116" i="10" s="1"/>
  <c r="D81" i="10"/>
  <c r="D115" i="10" s="1"/>
  <c r="D161" i="10"/>
  <c r="D175" i="10" s="1"/>
  <c r="C85" i="10"/>
  <c r="E86" i="10"/>
  <c r="E89" i="10"/>
  <c r="E123" i="10" s="1"/>
  <c r="C88" i="10"/>
  <c r="D87" i="10"/>
  <c r="C167" i="10"/>
  <c r="C181" i="10" s="1"/>
  <c r="E167" i="10"/>
  <c r="E181" i="10" s="1"/>
  <c r="C166" i="10"/>
  <c r="C180" i="10" s="1"/>
  <c r="D165" i="10"/>
  <c r="D179" i="10" s="1"/>
  <c r="E166" i="10"/>
  <c r="E180" i="10" s="1"/>
  <c r="H98" i="10"/>
  <c r="H136" i="10" s="1"/>
  <c r="C162" i="10"/>
  <c r="H135" i="10"/>
  <c r="J97" i="10"/>
  <c r="K97" i="10" s="1"/>
  <c r="H50" i="6"/>
  <c r="H53" i="6"/>
  <c r="H52" i="6"/>
  <c r="H51" i="6"/>
  <c r="J81" i="6"/>
  <c r="K81" i="6" s="1"/>
  <c r="E104" i="6"/>
  <c r="H82" i="6"/>
  <c r="H104" i="6" s="1"/>
  <c r="D104" i="6"/>
  <c r="C104" i="6"/>
  <c r="E100" i="6"/>
  <c r="C100" i="6"/>
  <c r="D100" i="6"/>
  <c r="H78" i="6"/>
  <c r="J77" i="6"/>
  <c r="K77" i="6" s="1"/>
  <c r="E122" i="9"/>
  <c r="E130" i="9" s="1"/>
  <c r="J107" i="9"/>
  <c r="K107" i="9" s="1"/>
  <c r="J106" i="9"/>
  <c r="K106" i="9" s="1"/>
  <c r="C119" i="9"/>
  <c r="C127" i="9" s="1"/>
  <c r="D119" i="9"/>
  <c r="D127" i="9" s="1"/>
  <c r="D122" i="9"/>
  <c r="D130" i="9" s="1"/>
  <c r="E117" i="9"/>
  <c r="E125" i="9" s="1"/>
  <c r="C120" i="9"/>
  <c r="D117" i="9"/>
  <c r="D125" i="9" s="1"/>
  <c r="E120" i="9"/>
  <c r="E128" i="9" s="1"/>
  <c r="C125" i="9"/>
  <c r="C65" i="9"/>
  <c r="C93" i="9" s="1"/>
  <c r="C67" i="9"/>
  <c r="C114" i="9" s="1"/>
  <c r="D120" i="9"/>
  <c r="D128" i="9" s="1"/>
  <c r="C62" i="9"/>
  <c r="C109" i="9" s="1"/>
  <c r="C66" i="9"/>
  <c r="C94" i="9" s="1"/>
  <c r="C64" i="9"/>
  <c r="C63" i="9"/>
  <c r="E66" i="9"/>
  <c r="E94" i="9" s="1"/>
  <c r="E63" i="9"/>
  <c r="D64" i="9"/>
  <c r="D62" i="9"/>
  <c r="E121" i="9"/>
  <c r="E129" i="9" s="1"/>
  <c r="D65" i="9"/>
  <c r="D93" i="9" s="1"/>
  <c r="D63" i="9"/>
  <c r="E65" i="9"/>
  <c r="E93" i="9" s="1"/>
  <c r="E118" i="9"/>
  <c r="C122" i="9"/>
  <c r="C130" i="9" s="1"/>
  <c r="C118" i="9"/>
  <c r="D121" i="9"/>
  <c r="D129" i="9" s="1"/>
  <c r="D118" i="9"/>
  <c r="C121" i="9"/>
  <c r="C129" i="9" s="1"/>
  <c r="D67" i="9"/>
  <c r="D95" i="9" s="1"/>
  <c r="E64" i="9"/>
  <c r="E62" i="9"/>
  <c r="D66" i="9"/>
  <c r="D94" i="9" s="1"/>
  <c r="E67" i="9"/>
  <c r="E95" i="9" s="1"/>
  <c r="E119" i="9"/>
  <c r="E127" i="9" s="1"/>
  <c r="J75" i="5"/>
  <c r="K75" i="5" s="1"/>
  <c r="H74" i="5"/>
  <c r="J73" i="5"/>
  <c r="K73" i="5" s="1"/>
  <c r="J74" i="5"/>
  <c r="K74" i="5" s="1"/>
  <c r="H75" i="5"/>
  <c r="E91" i="3"/>
  <c r="E99" i="3"/>
  <c r="D99" i="3"/>
  <c r="E100" i="3"/>
  <c r="D91" i="3"/>
  <c r="D100" i="3"/>
  <c r="C126" i="9" l="1"/>
  <c r="G117" i="9"/>
  <c r="C128" i="9"/>
  <c r="F14" i="9" s="1"/>
  <c r="G120" i="9"/>
  <c r="G118" i="9" s="1"/>
  <c r="I120" i="9"/>
  <c r="I118" i="9" s="1"/>
  <c r="H120" i="9"/>
  <c r="H118" i="9" s="1"/>
  <c r="D126" i="9"/>
  <c r="F12" i="9" s="1"/>
  <c r="H117" i="9"/>
  <c r="E126" i="9"/>
  <c r="I117" i="9"/>
  <c r="D84" i="11"/>
  <c r="C84" i="11"/>
  <c r="E84" i="11"/>
  <c r="D83" i="11"/>
  <c r="C83" i="11"/>
  <c r="D172" i="10"/>
  <c r="H159" i="10"/>
  <c r="H158" i="10"/>
  <c r="E172" i="10"/>
  <c r="I158" i="10"/>
  <c r="I159" i="10"/>
  <c r="C172" i="10"/>
  <c r="G158" i="10"/>
  <c r="G159" i="10"/>
  <c r="D116" i="8"/>
  <c r="D124" i="8" s="1"/>
  <c r="E111" i="8"/>
  <c r="E119" i="8" s="1"/>
  <c r="D66" i="8"/>
  <c r="E66" i="8"/>
  <c r="D113" i="8"/>
  <c r="D121" i="8" s="1"/>
  <c r="D62" i="8"/>
  <c r="D84" i="8" s="1"/>
  <c r="D103" i="8" s="1"/>
  <c r="C64" i="8"/>
  <c r="C105" i="8" s="1"/>
  <c r="E62" i="8"/>
  <c r="E84" i="8" s="1"/>
  <c r="E103" i="8" s="1"/>
  <c r="E63" i="8"/>
  <c r="E85" i="8" s="1"/>
  <c r="C112" i="8"/>
  <c r="C120" i="8" s="1"/>
  <c r="D65" i="8"/>
  <c r="D106" i="8" s="1"/>
  <c r="C65" i="8"/>
  <c r="C87" i="8" s="1"/>
  <c r="C67" i="8"/>
  <c r="C63" i="8"/>
  <c r="C85" i="8" s="1"/>
  <c r="C114" i="8"/>
  <c r="C122" i="8" s="1"/>
  <c r="E114" i="8"/>
  <c r="E122" i="8" s="1"/>
  <c r="D63" i="8"/>
  <c r="D104" i="8" s="1"/>
  <c r="D67" i="8"/>
  <c r="D89" i="8" s="1"/>
  <c r="E64" i="8"/>
  <c r="E86" i="8" s="1"/>
  <c r="E116" i="8"/>
  <c r="E124" i="8" s="1"/>
  <c r="D64" i="8"/>
  <c r="D86" i="8" s="1"/>
  <c r="E65" i="8"/>
  <c r="E87" i="8" s="1"/>
  <c r="C62" i="8"/>
  <c r="C84" i="8" s="1"/>
  <c r="E113" i="8"/>
  <c r="E121" i="8" s="1"/>
  <c r="C113" i="8"/>
  <c r="C121" i="8" s="1"/>
  <c r="D111" i="8"/>
  <c r="D119" i="8" s="1"/>
  <c r="D114" i="8"/>
  <c r="D122" i="8" s="1"/>
  <c r="H112" i="8" s="1"/>
  <c r="E112" i="8"/>
  <c r="E120" i="8" s="1"/>
  <c r="C66" i="8"/>
  <c r="C88" i="8" s="1"/>
  <c r="E67" i="8"/>
  <c r="E89" i="8" s="1"/>
  <c r="D112" i="8"/>
  <c r="D120" i="8" s="1"/>
  <c r="H111" i="8" s="1"/>
  <c r="C111" i="8"/>
  <c r="C119" i="8" s="1"/>
  <c r="K62" i="7"/>
  <c r="E30" i="7"/>
  <c r="H19" i="10"/>
  <c r="E149" i="10"/>
  <c r="D146" i="12"/>
  <c r="D156" i="12" s="1"/>
  <c r="D136" i="12"/>
  <c r="C137" i="12"/>
  <c r="C147" i="12"/>
  <c r="C157" i="12" s="1"/>
  <c r="H128" i="12"/>
  <c r="E137" i="12"/>
  <c r="E147" i="12"/>
  <c r="E157" i="12" s="1"/>
  <c r="C94" i="12"/>
  <c r="C95" i="12"/>
  <c r="C91" i="12"/>
  <c r="C90" i="12"/>
  <c r="D133" i="12"/>
  <c r="D143" i="12"/>
  <c r="D153" i="12" s="1"/>
  <c r="D137" i="12"/>
  <c r="D147" i="12"/>
  <c r="D157" i="12" s="1"/>
  <c r="D94" i="12"/>
  <c r="D107" i="12" s="1"/>
  <c r="D116" i="12" s="1"/>
  <c r="D90" i="12"/>
  <c r="D103" i="12" s="1"/>
  <c r="D112" i="12" s="1"/>
  <c r="D95" i="12"/>
  <c r="D108" i="12" s="1"/>
  <c r="D117" i="12" s="1"/>
  <c r="D91" i="12"/>
  <c r="D104" i="12" s="1"/>
  <c r="D113" i="12" s="1"/>
  <c r="E146" i="12"/>
  <c r="E156" i="12" s="1"/>
  <c r="E136" i="12"/>
  <c r="E94" i="12"/>
  <c r="E107" i="12" s="1"/>
  <c r="E116" i="12" s="1"/>
  <c r="E90" i="12"/>
  <c r="E103" i="12" s="1"/>
  <c r="E112" i="12" s="1"/>
  <c r="E95" i="12"/>
  <c r="E108" i="12" s="1"/>
  <c r="E117" i="12" s="1"/>
  <c r="E91" i="12"/>
  <c r="E104" i="12" s="1"/>
  <c r="E113" i="12" s="1"/>
  <c r="C133" i="12"/>
  <c r="H124" i="12"/>
  <c r="C143" i="12"/>
  <c r="C153" i="12" s="1"/>
  <c r="J123" i="12"/>
  <c r="K123" i="12" s="1"/>
  <c r="E133" i="12"/>
  <c r="E143" i="12"/>
  <c r="E153" i="12" s="1"/>
  <c r="C136" i="12"/>
  <c r="H127" i="12"/>
  <c r="C146" i="12"/>
  <c r="C156" i="12" s="1"/>
  <c r="J127" i="12"/>
  <c r="K127" i="12" s="1"/>
  <c r="E22" i="5"/>
  <c r="E85" i="7"/>
  <c r="C115" i="11"/>
  <c r="H115" i="11" s="1"/>
  <c r="E128" i="11"/>
  <c r="E137" i="11" s="1"/>
  <c r="D128" i="11"/>
  <c r="D147" i="11" s="1"/>
  <c r="D157" i="11" s="1"/>
  <c r="C128" i="11"/>
  <c r="C114" i="11"/>
  <c r="E127" i="11"/>
  <c r="E136" i="11" s="1"/>
  <c r="D127" i="11"/>
  <c r="D136" i="11" s="1"/>
  <c r="C127" i="11"/>
  <c r="C146" i="11" s="1"/>
  <c r="C156" i="11" s="1"/>
  <c r="C111" i="11"/>
  <c r="H111" i="11" s="1"/>
  <c r="E124" i="11"/>
  <c r="E133" i="11" s="1"/>
  <c r="D124" i="11"/>
  <c r="D133" i="11" s="1"/>
  <c r="C124" i="11"/>
  <c r="J101" i="11"/>
  <c r="K101" i="11" s="1"/>
  <c r="H106" i="11"/>
  <c r="H105" i="11"/>
  <c r="H102" i="11"/>
  <c r="H114" i="11"/>
  <c r="J103" i="11"/>
  <c r="K103" i="11" s="1"/>
  <c r="J102" i="11"/>
  <c r="K102" i="11" s="1"/>
  <c r="D85" i="11"/>
  <c r="E85" i="11"/>
  <c r="C85" i="11"/>
  <c r="E83" i="11"/>
  <c r="J82" i="6"/>
  <c r="K82" i="6" s="1"/>
  <c r="D80" i="6"/>
  <c r="J78" i="6"/>
  <c r="K78" i="6" s="1"/>
  <c r="C84" i="6"/>
  <c r="E84" i="6"/>
  <c r="D84" i="6"/>
  <c r="H83" i="6"/>
  <c r="H105" i="6" s="1"/>
  <c r="D105" i="6"/>
  <c r="C105" i="6"/>
  <c r="E105" i="6"/>
  <c r="C80" i="6"/>
  <c r="E80" i="6"/>
  <c r="E101" i="6"/>
  <c r="H79" i="6"/>
  <c r="C101" i="6"/>
  <c r="D101" i="6"/>
  <c r="D121" i="10"/>
  <c r="D152" i="10"/>
  <c r="E122" i="10"/>
  <c r="E153" i="10"/>
  <c r="C114" i="10"/>
  <c r="C145" i="10"/>
  <c r="D90" i="9"/>
  <c r="D109" i="9"/>
  <c r="C122" i="10"/>
  <c r="C153" i="10"/>
  <c r="E119" i="10"/>
  <c r="E150" i="10"/>
  <c r="C120" i="10"/>
  <c r="C151" i="10"/>
  <c r="D114" i="9"/>
  <c r="D120" i="10"/>
  <c r="D151" i="10"/>
  <c r="D119" i="10"/>
  <c r="D150" i="10"/>
  <c r="D122" i="10"/>
  <c r="D153" i="10"/>
  <c r="D149" i="10"/>
  <c r="E90" i="9"/>
  <c r="E109" i="9"/>
  <c r="C119" i="10"/>
  <c r="C150" i="10"/>
  <c r="C81" i="7"/>
  <c r="E120" i="10"/>
  <c r="E151" i="10"/>
  <c r="C121" i="10"/>
  <c r="C152" i="10"/>
  <c r="E121" i="10"/>
  <c r="E152" i="10"/>
  <c r="C149" i="10"/>
  <c r="E114" i="9"/>
  <c r="D163" i="10"/>
  <c r="D177" i="10" s="1"/>
  <c r="E163" i="10"/>
  <c r="E177" i="10" s="1"/>
  <c r="F12" i="10"/>
  <c r="E148" i="10"/>
  <c r="H148" i="10" s="1"/>
  <c r="B30" i="10" s="1"/>
  <c r="F17" i="10"/>
  <c r="D114" i="10"/>
  <c r="F19" i="10"/>
  <c r="D147" i="10"/>
  <c r="H12" i="10"/>
  <c r="G12" i="10"/>
  <c r="F18" i="10"/>
  <c r="G17" i="10"/>
  <c r="H14" i="10"/>
  <c r="H17" i="10"/>
  <c r="H90" i="10"/>
  <c r="F14" i="10"/>
  <c r="C117" i="10"/>
  <c r="E145" i="10"/>
  <c r="H82" i="10"/>
  <c r="C146" i="10"/>
  <c r="H79" i="10"/>
  <c r="D117" i="10"/>
  <c r="C113" i="10"/>
  <c r="H83" i="10"/>
  <c r="F20" i="10"/>
  <c r="H84" i="10"/>
  <c r="G13" i="10"/>
  <c r="G18" i="10"/>
  <c r="H89" i="10"/>
  <c r="E146" i="10"/>
  <c r="H81" i="10"/>
  <c r="H13" i="10"/>
  <c r="C116" i="10"/>
  <c r="H116" i="10" s="1"/>
  <c r="H80" i="10"/>
  <c r="D146" i="10"/>
  <c r="H85" i="10"/>
  <c r="G19" i="10"/>
  <c r="F13" i="10"/>
  <c r="E147" i="10"/>
  <c r="H87" i="10"/>
  <c r="H86" i="10"/>
  <c r="G20" i="10"/>
  <c r="H18" i="10"/>
  <c r="H20" i="10"/>
  <c r="G14" i="10"/>
  <c r="H88" i="10"/>
  <c r="C176" i="10"/>
  <c r="J136" i="10"/>
  <c r="K136" i="10" s="1"/>
  <c r="C163" i="10"/>
  <c r="C177" i="10" s="1"/>
  <c r="J135" i="10"/>
  <c r="K135" i="10" s="1"/>
  <c r="K50" i="6"/>
  <c r="D123" i="6" s="1"/>
  <c r="D133" i="6" s="1"/>
  <c r="J103" i="6"/>
  <c r="K103" i="6" s="1"/>
  <c r="H100" i="6"/>
  <c r="J99" i="6"/>
  <c r="K99" i="6" s="1"/>
  <c r="H115" i="10"/>
  <c r="H118" i="10"/>
  <c r="F13" i="9"/>
  <c r="G13" i="9"/>
  <c r="H13" i="9"/>
  <c r="D113" i="9"/>
  <c r="H16" i="9"/>
  <c r="G16" i="9"/>
  <c r="F16" i="9"/>
  <c r="D112" i="9"/>
  <c r="E91" i="9"/>
  <c r="E110" i="9"/>
  <c r="H66" i="9"/>
  <c r="C113" i="9"/>
  <c r="H65" i="9"/>
  <c r="C112" i="9"/>
  <c r="E113" i="9"/>
  <c r="H62" i="9"/>
  <c r="K62" i="9" s="1"/>
  <c r="C90" i="9"/>
  <c r="G11" i="9"/>
  <c r="F11" i="9"/>
  <c r="H11" i="9"/>
  <c r="E92" i="9"/>
  <c r="E111" i="9"/>
  <c r="E112" i="9"/>
  <c r="H63" i="9"/>
  <c r="C91" i="9"/>
  <c r="C110" i="9"/>
  <c r="G15" i="9"/>
  <c r="F15" i="9"/>
  <c r="H15" i="9"/>
  <c r="H12" i="9"/>
  <c r="G12" i="9"/>
  <c r="D91" i="9"/>
  <c r="D110" i="9"/>
  <c r="D92" i="9"/>
  <c r="D111" i="9"/>
  <c r="H64" i="9"/>
  <c r="C92" i="9"/>
  <c r="C111" i="9"/>
  <c r="H67" i="9"/>
  <c r="C95" i="9"/>
  <c r="D85" i="8"/>
  <c r="E79" i="7"/>
  <c r="E76" i="7"/>
  <c r="E82" i="7"/>
  <c r="E80" i="7"/>
  <c r="E81" i="7"/>
  <c r="E77" i="7"/>
  <c r="D79" i="7"/>
  <c r="E86" i="7"/>
  <c r="E121" i="7" s="1"/>
  <c r="E83" i="7"/>
  <c r="D75" i="7"/>
  <c r="D110" i="7" s="1"/>
  <c r="D84" i="7"/>
  <c r="D80" i="7"/>
  <c r="D86" i="7"/>
  <c r="D121" i="7" s="1"/>
  <c r="C82" i="7"/>
  <c r="C76" i="7"/>
  <c r="D83" i="7"/>
  <c r="D76" i="7"/>
  <c r="E78" i="7"/>
  <c r="C79" i="7"/>
  <c r="D85" i="7"/>
  <c r="C77" i="7"/>
  <c r="C75" i="7"/>
  <c r="C110" i="7" s="1"/>
  <c r="C85" i="7"/>
  <c r="C80" i="7"/>
  <c r="H80" i="7" s="1"/>
  <c r="D81" i="7"/>
  <c r="D82" i="7"/>
  <c r="E84" i="7"/>
  <c r="C84" i="7"/>
  <c r="C83" i="7"/>
  <c r="C78" i="7"/>
  <c r="E75" i="7"/>
  <c r="E110" i="7" s="1"/>
  <c r="D77" i="7"/>
  <c r="C86" i="7"/>
  <c r="C121" i="7" s="1"/>
  <c r="D78" i="7"/>
  <c r="C63" i="5"/>
  <c r="E51" i="5"/>
  <c r="E80" i="5" s="1"/>
  <c r="C50" i="5"/>
  <c r="C79" i="5" s="1"/>
  <c r="E85" i="5"/>
  <c r="E91" i="5" s="1"/>
  <c r="D86" i="5"/>
  <c r="D92" i="5" s="1"/>
  <c r="C86" i="5"/>
  <c r="C92" i="5" s="1"/>
  <c r="C51" i="5"/>
  <c r="C66" i="5" s="1"/>
  <c r="D51" i="5"/>
  <c r="D66" i="5" s="1"/>
  <c r="E83" i="5"/>
  <c r="E89" i="5" s="1"/>
  <c r="E86" i="5"/>
  <c r="E92" i="5" s="1"/>
  <c r="C89" i="5"/>
  <c r="D84" i="5"/>
  <c r="D90" i="5" s="1"/>
  <c r="E50" i="5"/>
  <c r="E79" i="5" s="1"/>
  <c r="J99" i="3"/>
  <c r="K99" i="3" s="1"/>
  <c r="H99" i="3"/>
  <c r="H138" i="3" s="1"/>
  <c r="H100" i="3"/>
  <c r="H139" i="3" s="1"/>
  <c r="H91" i="3"/>
  <c r="B95" i="3"/>
  <c r="B134" i="3" s="1"/>
  <c r="B161" i="3" s="1"/>
  <c r="B175" i="3" s="1"/>
  <c r="B96" i="3"/>
  <c r="B135" i="3" s="1"/>
  <c r="B162" i="3" s="1"/>
  <c r="B176" i="3" s="1"/>
  <c r="B97" i="3"/>
  <c r="B136" i="3" s="1"/>
  <c r="B163" i="3" s="1"/>
  <c r="B177" i="3" s="1"/>
  <c r="B98" i="3"/>
  <c r="B137" i="3" s="1"/>
  <c r="B164" i="3" s="1"/>
  <c r="B178" i="3" s="1"/>
  <c r="B99" i="3"/>
  <c r="B138" i="3" s="1"/>
  <c r="B165" i="3" s="1"/>
  <c r="B179" i="3" s="1"/>
  <c r="B100" i="3"/>
  <c r="B139" i="3" s="1"/>
  <c r="B166" i="3" s="1"/>
  <c r="B180" i="3" s="1"/>
  <c r="B81" i="3"/>
  <c r="B82" i="3"/>
  <c r="B83" i="3"/>
  <c r="B84" i="3"/>
  <c r="B85" i="3"/>
  <c r="B86" i="3"/>
  <c r="B52" i="3"/>
  <c r="B53" i="3"/>
  <c r="B54" i="3"/>
  <c r="B55" i="3"/>
  <c r="B56" i="3"/>
  <c r="B57" i="3"/>
  <c r="B51" i="3"/>
  <c r="B146" i="3"/>
  <c r="B141" i="3"/>
  <c r="G133" i="3"/>
  <c r="G128" i="3"/>
  <c r="B94" i="3"/>
  <c r="B93" i="3"/>
  <c r="B132" i="3" s="1"/>
  <c r="B159" i="3" s="1"/>
  <c r="B173" i="3" s="1"/>
  <c r="B92" i="3"/>
  <c r="B131" i="3" s="1"/>
  <c r="B158" i="3" s="1"/>
  <c r="B172" i="3" s="1"/>
  <c r="B91" i="3"/>
  <c r="B130" i="3" s="1"/>
  <c r="B157" i="3" s="1"/>
  <c r="B171" i="3" s="1"/>
  <c r="B90" i="3"/>
  <c r="B129" i="3" s="1"/>
  <c r="B156" i="3" s="1"/>
  <c r="B170" i="3" s="1"/>
  <c r="D92" i="3"/>
  <c r="B89" i="3"/>
  <c r="B80" i="3"/>
  <c r="B79" i="3"/>
  <c r="B78" i="3"/>
  <c r="B77" i="3"/>
  <c r="B76" i="3"/>
  <c r="B75" i="3"/>
  <c r="H51" i="3"/>
  <c r="G51" i="3"/>
  <c r="G50" i="3"/>
  <c r="B50" i="3"/>
  <c r="B49" i="3"/>
  <c r="B48" i="3"/>
  <c r="L47" i="3"/>
  <c r="M47" i="3" s="1"/>
  <c r="H47" i="3"/>
  <c r="G47" i="3"/>
  <c r="B47" i="3"/>
  <c r="L46" i="3"/>
  <c r="M46" i="3" s="1"/>
  <c r="I45" i="3" s="1"/>
  <c r="G46" i="3"/>
  <c r="B46" i="3"/>
  <c r="L45" i="3"/>
  <c r="M45" i="3" s="1"/>
  <c r="G45" i="3"/>
  <c r="J30" i="3"/>
  <c r="J29" i="3"/>
  <c r="J28" i="3"/>
  <c r="B62" i="1"/>
  <c r="B81" i="1" s="1"/>
  <c r="B63" i="1"/>
  <c r="B82" i="1" s="1"/>
  <c r="B64" i="1"/>
  <c r="B83" i="1" s="1"/>
  <c r="B65" i="1"/>
  <c r="B84" i="1" s="1"/>
  <c r="B66" i="1"/>
  <c r="B85" i="1" s="1"/>
  <c r="B61" i="1"/>
  <c r="B80" i="1" s="1"/>
  <c r="B54" i="1"/>
  <c r="B55" i="1"/>
  <c r="B56" i="1"/>
  <c r="B57" i="1"/>
  <c r="B58" i="1"/>
  <c r="B53" i="1"/>
  <c r="B37" i="1"/>
  <c r="B38" i="1"/>
  <c r="B39" i="1"/>
  <c r="B40" i="1"/>
  <c r="B41" i="1"/>
  <c r="B36" i="1"/>
  <c r="K159" i="10" l="1"/>
  <c r="E35" i="10" s="1"/>
  <c r="E34" i="10" s="1"/>
  <c r="G14" i="9"/>
  <c r="H14" i="9"/>
  <c r="K118" i="9"/>
  <c r="E29" i="9" s="1"/>
  <c r="E28" i="9" s="1"/>
  <c r="K117" i="9"/>
  <c r="E33" i="9" s="1"/>
  <c r="E32" i="9" s="1"/>
  <c r="I111" i="8"/>
  <c r="I112" i="8"/>
  <c r="G112" i="8"/>
  <c r="G111" i="8"/>
  <c r="H11" i="10"/>
  <c r="K158" i="10"/>
  <c r="E39" i="10" s="1"/>
  <c r="E38" i="10" s="1"/>
  <c r="F11" i="10"/>
  <c r="G11" i="10"/>
  <c r="H149" i="10"/>
  <c r="B31" i="10" s="1"/>
  <c r="E104" i="8"/>
  <c r="C86" i="8"/>
  <c r="H86" i="8" s="1"/>
  <c r="H66" i="8"/>
  <c r="D105" i="8"/>
  <c r="H64" i="8"/>
  <c r="G13" i="8"/>
  <c r="E106" i="8"/>
  <c r="H63" i="8"/>
  <c r="H13" i="8"/>
  <c r="C106" i="8"/>
  <c r="F11" i="8"/>
  <c r="F14" i="8"/>
  <c r="F13" i="8"/>
  <c r="G11" i="8"/>
  <c r="H62" i="8"/>
  <c r="H11" i="8"/>
  <c r="G12" i="8"/>
  <c r="H12" i="8"/>
  <c r="H14" i="8"/>
  <c r="H65" i="8"/>
  <c r="G14" i="8"/>
  <c r="E105" i="8"/>
  <c r="C104" i="8"/>
  <c r="D87" i="8"/>
  <c r="H87" i="8" s="1"/>
  <c r="F12" i="8"/>
  <c r="H67" i="8"/>
  <c r="H119" i="10"/>
  <c r="H150" i="10"/>
  <c r="B32" i="10" s="1"/>
  <c r="H121" i="10"/>
  <c r="H153" i="10"/>
  <c r="B35" i="10" s="1"/>
  <c r="H151" i="10"/>
  <c r="B33" i="10" s="1"/>
  <c r="H152" i="10"/>
  <c r="B34" i="10" s="1"/>
  <c r="H122" i="10"/>
  <c r="H120" i="10"/>
  <c r="H114" i="10"/>
  <c r="H136" i="12"/>
  <c r="B26" i="12" s="1"/>
  <c r="H133" i="12"/>
  <c r="B23" i="12" s="1"/>
  <c r="J92" i="12"/>
  <c r="K92" i="12" s="1"/>
  <c r="H90" i="12"/>
  <c r="C103" i="12"/>
  <c r="H137" i="12"/>
  <c r="B27" i="12" s="1"/>
  <c r="J94" i="12"/>
  <c r="K94" i="12" s="1"/>
  <c r="C104" i="12"/>
  <c r="H91" i="12"/>
  <c r="H12" i="12"/>
  <c r="G12" i="12"/>
  <c r="F12" i="12"/>
  <c r="C108" i="12"/>
  <c r="H95" i="12"/>
  <c r="J93" i="12"/>
  <c r="K93" i="12" s="1"/>
  <c r="F15" i="12"/>
  <c r="H15" i="12"/>
  <c r="G15" i="12"/>
  <c r="C107" i="12"/>
  <c r="H94" i="12"/>
  <c r="G16" i="12"/>
  <c r="F16" i="12"/>
  <c r="H16" i="12"/>
  <c r="C62" i="6"/>
  <c r="C89" i="6" s="1"/>
  <c r="C49" i="5"/>
  <c r="C85" i="5"/>
  <c r="C91" i="5" s="1"/>
  <c r="D83" i="5"/>
  <c r="D89" i="5" s="1"/>
  <c r="H11" i="5" s="1"/>
  <c r="D49" i="5"/>
  <c r="D64" i="5" s="1"/>
  <c r="C84" i="5"/>
  <c r="C90" i="5" s="1"/>
  <c r="D48" i="5"/>
  <c r="D63" i="5" s="1"/>
  <c r="E48" i="5"/>
  <c r="E63" i="5" s="1"/>
  <c r="D85" i="5"/>
  <c r="D91" i="5" s="1"/>
  <c r="E84" i="5"/>
  <c r="E90" i="5" s="1"/>
  <c r="E49" i="5"/>
  <c r="E78" i="5" s="1"/>
  <c r="D50" i="5"/>
  <c r="D79" i="5" s="1"/>
  <c r="H79" i="5" s="1"/>
  <c r="B20" i="5" s="1"/>
  <c r="H81" i="7"/>
  <c r="H85" i="7"/>
  <c r="D137" i="11"/>
  <c r="D146" i="11"/>
  <c r="D156" i="11" s="1"/>
  <c r="D143" i="11"/>
  <c r="D153" i="11" s="1"/>
  <c r="E146" i="11"/>
  <c r="E156" i="11" s="1"/>
  <c r="E147" i="11"/>
  <c r="E157" i="11" s="1"/>
  <c r="E143" i="11"/>
  <c r="E153" i="11" s="1"/>
  <c r="H124" i="11"/>
  <c r="C133" i="11"/>
  <c r="H133" i="11" s="1"/>
  <c r="B23" i="11" s="1"/>
  <c r="H127" i="11"/>
  <c r="C136" i="11"/>
  <c r="H136" i="11" s="1"/>
  <c r="B26" i="11" s="1"/>
  <c r="H128" i="11"/>
  <c r="C137" i="11"/>
  <c r="J127" i="11"/>
  <c r="K127" i="11" s="1"/>
  <c r="C143" i="11"/>
  <c r="C153" i="11" s="1"/>
  <c r="J123" i="11"/>
  <c r="K123" i="11" s="1"/>
  <c r="C147" i="11"/>
  <c r="C157" i="11" s="1"/>
  <c r="D94" i="11"/>
  <c r="D107" i="11" s="1"/>
  <c r="D116" i="11" s="1"/>
  <c r="D95" i="11"/>
  <c r="D108" i="11" s="1"/>
  <c r="D117" i="11" s="1"/>
  <c r="D91" i="11"/>
  <c r="D104" i="11" s="1"/>
  <c r="D113" i="11" s="1"/>
  <c r="D90" i="11"/>
  <c r="D103" i="11" s="1"/>
  <c r="D112" i="11" s="1"/>
  <c r="E94" i="11"/>
  <c r="E107" i="11" s="1"/>
  <c r="E116" i="11" s="1"/>
  <c r="E91" i="11"/>
  <c r="E104" i="11" s="1"/>
  <c r="E113" i="11" s="1"/>
  <c r="E90" i="11"/>
  <c r="E103" i="11" s="1"/>
  <c r="E112" i="11" s="1"/>
  <c r="E95" i="11"/>
  <c r="E108" i="11" s="1"/>
  <c r="E117" i="11" s="1"/>
  <c r="C107" i="11"/>
  <c r="C103" i="11"/>
  <c r="C108" i="11"/>
  <c r="C104" i="11"/>
  <c r="J104" i="6"/>
  <c r="K104" i="6" s="1"/>
  <c r="H101" i="6"/>
  <c r="J80" i="6"/>
  <c r="K80" i="6" s="1"/>
  <c r="H80" i="6"/>
  <c r="E102" i="6"/>
  <c r="E121" i="6" s="1"/>
  <c r="E131" i="6" s="1"/>
  <c r="D102" i="6"/>
  <c r="D121" i="6" s="1"/>
  <c r="D131" i="6" s="1"/>
  <c r="C102" i="6"/>
  <c r="C111" i="6" s="1"/>
  <c r="J79" i="6"/>
  <c r="K79" i="6" s="1"/>
  <c r="J100" i="6"/>
  <c r="K100" i="6" s="1"/>
  <c r="C119" i="6"/>
  <c r="C129" i="6" s="1"/>
  <c r="J83" i="6"/>
  <c r="K83" i="6" s="1"/>
  <c r="H84" i="6"/>
  <c r="H106" i="6" s="1"/>
  <c r="E106" i="6"/>
  <c r="E125" i="6" s="1"/>
  <c r="E135" i="6" s="1"/>
  <c r="C106" i="6"/>
  <c r="C125" i="6" s="1"/>
  <c r="C135" i="6" s="1"/>
  <c r="J84" i="6"/>
  <c r="K84" i="6" s="1"/>
  <c r="D106" i="6"/>
  <c r="D125" i="6" s="1"/>
  <c r="D135" i="6" s="1"/>
  <c r="D119" i="6"/>
  <c r="D129" i="6" s="1"/>
  <c r="E124" i="6"/>
  <c r="E134" i="6" s="1"/>
  <c r="C60" i="6"/>
  <c r="C65" i="6"/>
  <c r="C92" i="6" s="1"/>
  <c r="C114" i="6" s="1"/>
  <c r="C61" i="6"/>
  <c r="D120" i="6"/>
  <c r="D130" i="6" s="1"/>
  <c r="D118" i="6"/>
  <c r="D128" i="6" s="1"/>
  <c r="E64" i="6"/>
  <c r="E91" i="6" s="1"/>
  <c r="E113" i="6" s="1"/>
  <c r="C120" i="6"/>
  <c r="C130" i="6" s="1"/>
  <c r="D64" i="6"/>
  <c r="D91" i="6" s="1"/>
  <c r="D113" i="6" s="1"/>
  <c r="E123" i="6"/>
  <c r="E133" i="6" s="1"/>
  <c r="E61" i="6"/>
  <c r="D62" i="6"/>
  <c r="D60" i="6"/>
  <c r="D65" i="6"/>
  <c r="D92" i="6" s="1"/>
  <c r="D114" i="6" s="1"/>
  <c r="C124" i="6"/>
  <c r="C134" i="6" s="1"/>
  <c r="C63" i="6"/>
  <c r="E26" i="6"/>
  <c r="C59" i="6"/>
  <c r="E66" i="6"/>
  <c r="E93" i="6" s="1"/>
  <c r="E115" i="6" s="1"/>
  <c r="D59" i="6"/>
  <c r="D86" i="6" s="1"/>
  <c r="D108" i="6" s="1"/>
  <c r="E60" i="6"/>
  <c r="D63" i="6"/>
  <c r="C66" i="6"/>
  <c r="C93" i="6" s="1"/>
  <c r="C115" i="6" s="1"/>
  <c r="E120" i="6"/>
  <c r="E130" i="6" s="1"/>
  <c r="E122" i="6"/>
  <c r="E132" i="6" s="1"/>
  <c r="D61" i="6"/>
  <c r="E65" i="6"/>
  <c r="E92" i="6" s="1"/>
  <c r="E114" i="6" s="1"/>
  <c r="C64" i="6"/>
  <c r="E118" i="6"/>
  <c r="E128" i="6" s="1"/>
  <c r="E59" i="6"/>
  <c r="E86" i="6" s="1"/>
  <c r="E108" i="6" s="1"/>
  <c r="E63" i="6"/>
  <c r="E112" i="6" s="1"/>
  <c r="D66" i="6"/>
  <c r="D93" i="6" s="1"/>
  <c r="D115" i="6" s="1"/>
  <c r="D122" i="6"/>
  <c r="D132" i="6" s="1"/>
  <c r="E119" i="6"/>
  <c r="E129" i="6" s="1"/>
  <c r="C123" i="6"/>
  <c r="C133" i="6" s="1"/>
  <c r="D124" i="6"/>
  <c r="D134" i="6" s="1"/>
  <c r="C122" i="6"/>
  <c r="C132" i="6" s="1"/>
  <c r="E62" i="6"/>
  <c r="C118" i="6"/>
  <c r="C128" i="6" s="1"/>
  <c r="C144" i="10"/>
  <c r="H144" i="10" s="1"/>
  <c r="B26" i="10" s="1"/>
  <c r="H145" i="10"/>
  <c r="B27" i="10" s="1"/>
  <c r="H147" i="10"/>
  <c r="B29" i="10" s="1"/>
  <c r="H146" i="10"/>
  <c r="B28" i="10" s="1"/>
  <c r="H117" i="10"/>
  <c r="H113" i="10"/>
  <c r="K79" i="10"/>
  <c r="H15" i="10"/>
  <c r="F15" i="10"/>
  <c r="G15" i="10"/>
  <c r="F16" i="10"/>
  <c r="H16" i="10"/>
  <c r="G16" i="10"/>
  <c r="C103" i="10"/>
  <c r="H101" i="10"/>
  <c r="H139" i="10" s="1"/>
  <c r="K101" i="10"/>
  <c r="H91" i="9"/>
  <c r="H92" i="9"/>
  <c r="H113" i="9"/>
  <c r="B24" i="9" s="1"/>
  <c r="H114" i="9"/>
  <c r="B25" i="9" s="1"/>
  <c r="H95" i="9"/>
  <c r="H90" i="9"/>
  <c r="H109" i="9"/>
  <c r="B20" i="9" s="1"/>
  <c r="H112" i="9"/>
  <c r="B23" i="9" s="1"/>
  <c r="H94" i="9"/>
  <c r="H93" i="9"/>
  <c r="H111" i="9"/>
  <c r="B22" i="9" s="1"/>
  <c r="H110" i="9"/>
  <c r="B21" i="9" s="1"/>
  <c r="H85" i="8"/>
  <c r="H84" i="8"/>
  <c r="C103" i="8"/>
  <c r="H103" i="8" s="1"/>
  <c r="B20" i="8" s="1"/>
  <c r="H79" i="7"/>
  <c r="H78" i="7"/>
  <c r="H83" i="7"/>
  <c r="H82" i="7"/>
  <c r="H76" i="7"/>
  <c r="H77" i="7"/>
  <c r="H75" i="7"/>
  <c r="H110" i="7"/>
  <c r="H84" i="7"/>
  <c r="H86" i="7"/>
  <c r="H121" i="7"/>
  <c r="E66" i="5"/>
  <c r="H66" i="5" s="1"/>
  <c r="C65" i="5"/>
  <c r="G14" i="5"/>
  <c r="H51" i="5"/>
  <c r="D80" i="5"/>
  <c r="H14" i="5"/>
  <c r="E65" i="5"/>
  <c r="F14" i="5"/>
  <c r="C80" i="5"/>
  <c r="B128" i="3"/>
  <c r="B155" i="3" s="1"/>
  <c r="B169" i="3" s="1"/>
  <c r="B133" i="3"/>
  <c r="B160" i="3" s="1"/>
  <c r="B174" i="3" s="1"/>
  <c r="H45" i="3"/>
  <c r="H46" i="3"/>
  <c r="H50" i="3" s="1"/>
  <c r="G49" i="3"/>
  <c r="E125" i="3"/>
  <c r="C108" i="3"/>
  <c r="E108" i="3"/>
  <c r="E124" i="3"/>
  <c r="E106" i="3"/>
  <c r="C126" i="3"/>
  <c r="D108" i="3"/>
  <c r="E107" i="3"/>
  <c r="C107" i="3"/>
  <c r="D107" i="3"/>
  <c r="D125" i="3"/>
  <c r="C125" i="3"/>
  <c r="D124" i="3"/>
  <c r="M92" i="3"/>
  <c r="N92" i="3" s="1"/>
  <c r="M96" i="3"/>
  <c r="N96" i="3" s="1"/>
  <c r="D89" i="3"/>
  <c r="H92" i="3"/>
  <c r="J92" i="3"/>
  <c r="D106" i="3"/>
  <c r="E89" i="3"/>
  <c r="J91" i="3"/>
  <c r="I46" i="3"/>
  <c r="I47" i="3"/>
  <c r="E53" i="3" s="1"/>
  <c r="H133" i="3"/>
  <c r="D126" i="3"/>
  <c r="E126" i="3"/>
  <c r="B96" i="1"/>
  <c r="B104" i="1" s="1"/>
  <c r="B97" i="1"/>
  <c r="B105" i="1" s="1"/>
  <c r="B98" i="1"/>
  <c r="B106" i="1" s="1"/>
  <c r="B99" i="1"/>
  <c r="B107" i="1" s="1"/>
  <c r="H41" i="1"/>
  <c r="G41" i="1"/>
  <c r="G40" i="1"/>
  <c r="G36" i="1"/>
  <c r="G35" i="1"/>
  <c r="G39" i="1" s="1"/>
  <c r="G85" i="1"/>
  <c r="G80" i="1"/>
  <c r="B87" i="1"/>
  <c r="B100" i="1"/>
  <c r="B108" i="1" s="1"/>
  <c r="B95" i="1"/>
  <c r="B103" i="1" s="1"/>
  <c r="C76" i="1"/>
  <c r="E78" i="1"/>
  <c r="E85" i="1"/>
  <c r="D66" i="1"/>
  <c r="D85" i="1" s="1"/>
  <c r="J24" i="1"/>
  <c r="D61" i="1"/>
  <c r="D77" i="1" s="1"/>
  <c r="D62" i="1"/>
  <c r="D64" i="1"/>
  <c r="J22" i="1"/>
  <c r="G35" i="10" l="1"/>
  <c r="G29" i="9"/>
  <c r="K112" i="8"/>
  <c r="E29" i="8" s="1"/>
  <c r="E28" i="8" s="1"/>
  <c r="K111" i="8"/>
  <c r="E33" i="8" s="1"/>
  <c r="E32" i="8" s="1"/>
  <c r="C53" i="3"/>
  <c r="I49" i="3"/>
  <c r="C64" i="5"/>
  <c r="H50" i="5"/>
  <c r="H12" i="5"/>
  <c r="H104" i="8"/>
  <c r="B21" i="8" s="1"/>
  <c r="H106" i="8"/>
  <c r="B23" i="8" s="1"/>
  <c r="H105" i="8"/>
  <c r="B22" i="8" s="1"/>
  <c r="K62" i="8"/>
  <c r="H137" i="11"/>
  <c r="B27" i="11" s="1"/>
  <c r="C130" i="12"/>
  <c r="C117" i="12"/>
  <c r="H117" i="12" s="1"/>
  <c r="H108" i="12"/>
  <c r="E130" i="12"/>
  <c r="J106" i="12"/>
  <c r="K106" i="12" s="1"/>
  <c r="D130" i="12"/>
  <c r="E125" i="12"/>
  <c r="D125" i="12"/>
  <c r="C112" i="12"/>
  <c r="H112" i="12" s="1"/>
  <c r="H103" i="12"/>
  <c r="L29" i="12" s="1"/>
  <c r="C125" i="12"/>
  <c r="J105" i="12"/>
  <c r="K105" i="12" s="1"/>
  <c r="E126" i="12"/>
  <c r="J107" i="12"/>
  <c r="K107" i="12" s="1"/>
  <c r="H104" i="12"/>
  <c r="D126" i="12"/>
  <c r="C113" i="12"/>
  <c r="H113" i="12" s="1"/>
  <c r="C126" i="12"/>
  <c r="D129" i="12"/>
  <c r="C129" i="12"/>
  <c r="C116" i="12"/>
  <c r="H116" i="12" s="1"/>
  <c r="H107" i="12"/>
  <c r="E129" i="12"/>
  <c r="E64" i="5"/>
  <c r="F13" i="5"/>
  <c r="H49" i="5"/>
  <c r="D78" i="5"/>
  <c r="H78" i="5" s="1"/>
  <c r="B19" i="5" s="1"/>
  <c r="H13" i="5"/>
  <c r="H63" i="5"/>
  <c r="F12" i="5"/>
  <c r="F11" i="5"/>
  <c r="G11" i="5"/>
  <c r="G13" i="5"/>
  <c r="G12" i="5"/>
  <c r="D65" i="5"/>
  <c r="H65" i="5" s="1"/>
  <c r="H48" i="5"/>
  <c r="K48" i="5" s="1"/>
  <c r="H15" i="11"/>
  <c r="F15" i="11"/>
  <c r="H12" i="11"/>
  <c r="G15" i="11"/>
  <c r="H16" i="11"/>
  <c r="F12" i="11"/>
  <c r="G12" i="11"/>
  <c r="C117" i="11"/>
  <c r="C130" i="11"/>
  <c r="C139" i="11" s="1"/>
  <c r="E130" i="11"/>
  <c r="D130" i="11"/>
  <c r="C116" i="11"/>
  <c r="E129" i="11"/>
  <c r="D129" i="11"/>
  <c r="C129" i="11"/>
  <c r="G16" i="11"/>
  <c r="F16" i="11"/>
  <c r="C113" i="11"/>
  <c r="E126" i="11"/>
  <c r="E135" i="11" s="1"/>
  <c r="D126" i="11"/>
  <c r="D135" i="11" s="1"/>
  <c r="C126" i="11"/>
  <c r="C135" i="11" s="1"/>
  <c r="C112" i="11"/>
  <c r="E125" i="11"/>
  <c r="E134" i="11" s="1"/>
  <c r="D125" i="11"/>
  <c r="D134" i="11" s="1"/>
  <c r="C125" i="11"/>
  <c r="C134" i="11" s="1"/>
  <c r="H94" i="11"/>
  <c r="J92" i="11"/>
  <c r="K92" i="11" s="1"/>
  <c r="H90" i="11"/>
  <c r="J93" i="11"/>
  <c r="K93" i="11" s="1"/>
  <c r="H95" i="11"/>
  <c r="J94" i="11"/>
  <c r="K94" i="11" s="1"/>
  <c r="H91" i="11"/>
  <c r="G15" i="6"/>
  <c r="C121" i="6"/>
  <c r="C131" i="6" s="1"/>
  <c r="G14" i="6" s="1"/>
  <c r="F18" i="6"/>
  <c r="J101" i="6"/>
  <c r="K101" i="6" s="1"/>
  <c r="J102" i="6"/>
  <c r="K102" i="6" s="1"/>
  <c r="H102" i="6"/>
  <c r="J106" i="6"/>
  <c r="K106" i="6" s="1"/>
  <c r="J105" i="6"/>
  <c r="K105" i="6" s="1"/>
  <c r="F15" i="6"/>
  <c r="H66" i="6"/>
  <c r="G11" i="6"/>
  <c r="H114" i="6"/>
  <c r="F11" i="6"/>
  <c r="H92" i="6"/>
  <c r="H15" i="6"/>
  <c r="G13" i="6"/>
  <c r="H13" i="6"/>
  <c r="H115" i="6"/>
  <c r="F12" i="6"/>
  <c r="F13" i="6"/>
  <c r="H61" i="6"/>
  <c r="C88" i="6"/>
  <c r="C110" i="6"/>
  <c r="E90" i="6"/>
  <c r="H11" i="6"/>
  <c r="E89" i="6"/>
  <c r="E111" i="6"/>
  <c r="D88" i="6"/>
  <c r="D110" i="6"/>
  <c r="D90" i="6"/>
  <c r="D112" i="6"/>
  <c r="H59" i="6"/>
  <c r="C86" i="6"/>
  <c r="H93" i="6"/>
  <c r="E109" i="6"/>
  <c r="E87" i="6"/>
  <c r="C109" i="6"/>
  <c r="C87" i="6"/>
  <c r="H60" i="6"/>
  <c r="D109" i="6"/>
  <c r="D87" i="6"/>
  <c r="H65" i="6"/>
  <c r="E110" i="6"/>
  <c r="E88" i="6"/>
  <c r="H63" i="6"/>
  <c r="G17" i="6"/>
  <c r="C91" i="6"/>
  <c r="H64" i="6"/>
  <c r="C90" i="6"/>
  <c r="C112" i="6"/>
  <c r="D89" i="6"/>
  <c r="D111" i="6"/>
  <c r="H62" i="6"/>
  <c r="C141" i="10"/>
  <c r="C154" i="10" s="1"/>
  <c r="D141" i="10"/>
  <c r="E141" i="10"/>
  <c r="G18" i="6"/>
  <c r="F17" i="6"/>
  <c r="H17" i="6"/>
  <c r="G12" i="6"/>
  <c r="G16" i="6"/>
  <c r="H16" i="6"/>
  <c r="H12" i="6"/>
  <c r="H18" i="6"/>
  <c r="F16" i="6"/>
  <c r="C128" i="3"/>
  <c r="D48" i="3"/>
  <c r="J100" i="3"/>
  <c r="K100" i="3" s="1"/>
  <c r="C123" i="10"/>
  <c r="J102" i="10"/>
  <c r="K102" i="10" s="1"/>
  <c r="D104" i="10"/>
  <c r="E104" i="10"/>
  <c r="C104" i="10"/>
  <c r="H102" i="10"/>
  <c r="H140" i="10" s="1"/>
  <c r="E20" i="9"/>
  <c r="E21" i="9" s="1"/>
  <c r="K75" i="7"/>
  <c r="H80" i="5"/>
  <c r="B21" i="5" s="1"/>
  <c r="E47" i="3"/>
  <c r="D53" i="3"/>
  <c r="E56" i="3"/>
  <c r="E55" i="3"/>
  <c r="E48" i="3"/>
  <c r="E49" i="3"/>
  <c r="D98" i="3"/>
  <c r="E98" i="3"/>
  <c r="M89" i="3"/>
  <c r="N89" i="3" s="1"/>
  <c r="D90" i="3"/>
  <c r="E90" i="3"/>
  <c r="D52" i="3"/>
  <c r="C135" i="3"/>
  <c r="C133" i="3"/>
  <c r="C132" i="3"/>
  <c r="C136" i="3"/>
  <c r="C134" i="3"/>
  <c r="C139" i="3"/>
  <c r="C130" i="3"/>
  <c r="C138" i="3"/>
  <c r="E131" i="3"/>
  <c r="E135" i="3"/>
  <c r="E136" i="3"/>
  <c r="E134" i="3"/>
  <c r="E133" i="3"/>
  <c r="E132" i="3"/>
  <c r="E138" i="3"/>
  <c r="E139" i="3"/>
  <c r="E130" i="3"/>
  <c r="E54" i="3"/>
  <c r="D54" i="3"/>
  <c r="D55" i="3"/>
  <c r="C131" i="3"/>
  <c r="D57" i="3"/>
  <c r="E50" i="3"/>
  <c r="D49" i="3"/>
  <c r="D128" i="3"/>
  <c r="E128" i="3"/>
  <c r="D131" i="3"/>
  <c r="D132" i="3"/>
  <c r="D133" i="3"/>
  <c r="D134" i="3"/>
  <c r="D135" i="3"/>
  <c r="D136" i="3"/>
  <c r="D138" i="3"/>
  <c r="D139" i="3"/>
  <c r="D130" i="3"/>
  <c r="D56" i="3"/>
  <c r="C48" i="3"/>
  <c r="H49" i="3"/>
  <c r="C46" i="3"/>
  <c r="C50" i="3"/>
  <c r="C45" i="3"/>
  <c r="E57" i="3"/>
  <c r="C54" i="3"/>
  <c r="C55" i="3"/>
  <c r="C49" i="3"/>
  <c r="E52" i="3"/>
  <c r="C57" i="3"/>
  <c r="C51" i="3"/>
  <c r="C56" i="3"/>
  <c r="C52" i="3"/>
  <c r="C47" i="3"/>
  <c r="H89" i="3"/>
  <c r="H128" i="3" s="1"/>
  <c r="J89" i="3"/>
  <c r="K89" i="3" s="1"/>
  <c r="K92" i="3"/>
  <c r="K91" i="3"/>
  <c r="I51" i="3"/>
  <c r="E51" i="3"/>
  <c r="E46" i="3"/>
  <c r="E45" i="3"/>
  <c r="D45" i="3"/>
  <c r="D47" i="3"/>
  <c r="D46" i="3"/>
  <c r="D50" i="3"/>
  <c r="I50" i="3"/>
  <c r="D51" i="3"/>
  <c r="K93" i="3"/>
  <c r="J61" i="1"/>
  <c r="K61" i="1" s="1"/>
  <c r="J66" i="1"/>
  <c r="K66" i="1" s="1"/>
  <c r="E80" i="1"/>
  <c r="D80" i="1"/>
  <c r="C85" i="1"/>
  <c r="C80" i="1"/>
  <c r="E77" i="1"/>
  <c r="E76" i="1"/>
  <c r="C78" i="1"/>
  <c r="D76" i="1"/>
  <c r="C77" i="1"/>
  <c r="D78" i="1"/>
  <c r="E65" i="1"/>
  <c r="D65" i="1"/>
  <c r="H62" i="1"/>
  <c r="H64" i="1"/>
  <c r="H61" i="1"/>
  <c r="H80" i="1" s="1"/>
  <c r="G29" i="8" l="1"/>
  <c r="E19" i="5"/>
  <c r="H64" i="5"/>
  <c r="J129" i="12"/>
  <c r="K129" i="12" s="1"/>
  <c r="C138" i="12"/>
  <c r="H129" i="12"/>
  <c r="C148" i="12"/>
  <c r="C158" i="12" s="1"/>
  <c r="J128" i="12"/>
  <c r="K128" i="12" s="1"/>
  <c r="D145" i="12"/>
  <c r="D155" i="12" s="1"/>
  <c r="D135" i="12"/>
  <c r="E149" i="12"/>
  <c r="E159" i="12" s="1"/>
  <c r="E139" i="12"/>
  <c r="C135" i="12"/>
  <c r="J126" i="12"/>
  <c r="K126" i="12" s="1"/>
  <c r="H126" i="12"/>
  <c r="C145" i="12"/>
  <c r="C155" i="12" s="1"/>
  <c r="K100" i="12"/>
  <c r="D149" i="12"/>
  <c r="D159" i="12" s="1"/>
  <c r="D139" i="12"/>
  <c r="D134" i="12"/>
  <c r="D144" i="12"/>
  <c r="D154" i="12" s="1"/>
  <c r="E148" i="12"/>
  <c r="E158" i="12" s="1"/>
  <c r="E138" i="12"/>
  <c r="D138" i="12"/>
  <c r="D148" i="12"/>
  <c r="D158" i="12" s="1"/>
  <c r="C134" i="12"/>
  <c r="C144" i="12"/>
  <c r="C154" i="12" s="1"/>
  <c r="J125" i="12"/>
  <c r="K125" i="12" s="1"/>
  <c r="H125" i="12"/>
  <c r="J124" i="12"/>
  <c r="K124" i="12" s="1"/>
  <c r="E144" i="12"/>
  <c r="E154" i="12" s="1"/>
  <c r="E134" i="12"/>
  <c r="E145" i="12"/>
  <c r="E155" i="12" s="1"/>
  <c r="E135" i="12"/>
  <c r="C139" i="12"/>
  <c r="H130" i="12"/>
  <c r="J130" i="12"/>
  <c r="K130" i="12" s="1"/>
  <c r="C149" i="12"/>
  <c r="C159" i="12" s="1"/>
  <c r="H129" i="11"/>
  <c r="C138" i="11"/>
  <c r="H125" i="11"/>
  <c r="H126" i="11"/>
  <c r="H130" i="11"/>
  <c r="D149" i="11"/>
  <c r="D159" i="11" s="1"/>
  <c r="D139" i="11"/>
  <c r="E148" i="11"/>
  <c r="E158" i="11" s="1"/>
  <c r="E138" i="11"/>
  <c r="E149" i="11"/>
  <c r="E159" i="11" s="1"/>
  <c r="E139" i="11"/>
  <c r="D148" i="11"/>
  <c r="D158" i="11" s="1"/>
  <c r="D138" i="11"/>
  <c r="H107" i="11"/>
  <c r="H108" i="11"/>
  <c r="H113" i="11"/>
  <c r="J107" i="11"/>
  <c r="K107" i="11" s="1"/>
  <c r="H103" i="11"/>
  <c r="J106" i="11"/>
  <c r="K106" i="11" s="1"/>
  <c r="H104" i="11"/>
  <c r="J105" i="11"/>
  <c r="K105" i="11" s="1"/>
  <c r="H112" i="11"/>
  <c r="E145" i="11"/>
  <c r="E155" i="11" s="1"/>
  <c r="J125" i="11"/>
  <c r="K125" i="11" s="1"/>
  <c r="C144" i="11"/>
  <c r="C154" i="11" s="1"/>
  <c r="J124" i="11"/>
  <c r="K124" i="11" s="1"/>
  <c r="D145" i="11"/>
  <c r="D155" i="11" s="1"/>
  <c r="C149" i="11"/>
  <c r="C159" i="11" s="1"/>
  <c r="J130" i="11"/>
  <c r="K130" i="11" s="1"/>
  <c r="E144" i="11"/>
  <c r="E154" i="11" s="1"/>
  <c r="D144" i="11"/>
  <c r="D154" i="11" s="1"/>
  <c r="C145" i="11"/>
  <c r="C155" i="11" s="1"/>
  <c r="J126" i="11"/>
  <c r="K126" i="11" s="1"/>
  <c r="H117" i="11"/>
  <c r="H116" i="11"/>
  <c r="C148" i="11"/>
  <c r="C158" i="11" s="1"/>
  <c r="J129" i="11"/>
  <c r="K129" i="11" s="1"/>
  <c r="J128" i="11"/>
  <c r="K128" i="11" s="1"/>
  <c r="H14" i="6"/>
  <c r="F14" i="6"/>
  <c r="H112" i="6"/>
  <c r="H111" i="6"/>
  <c r="H90" i="6"/>
  <c r="H89" i="6"/>
  <c r="C113" i="6"/>
  <c r="H113" i="6" s="1"/>
  <c r="H91" i="6"/>
  <c r="H110" i="6"/>
  <c r="K59" i="6"/>
  <c r="H87" i="6"/>
  <c r="H88" i="6"/>
  <c r="H109" i="6"/>
  <c r="H86" i="6"/>
  <c r="C108" i="6"/>
  <c r="H108" i="6" s="1"/>
  <c r="E154" i="10"/>
  <c r="E168" i="10"/>
  <c r="E182" i="10" s="1"/>
  <c r="D154" i="10"/>
  <c r="D168" i="10"/>
  <c r="D182" i="10" s="1"/>
  <c r="D142" i="10"/>
  <c r="D155" i="10" s="1"/>
  <c r="E142" i="10"/>
  <c r="E155" i="10" s="1"/>
  <c r="C142" i="10"/>
  <c r="C155" i="10" s="1"/>
  <c r="J140" i="10"/>
  <c r="K140" i="10" s="1"/>
  <c r="C168" i="10"/>
  <c r="C182" i="10" s="1"/>
  <c r="H123" i="10"/>
  <c r="D58" i="3"/>
  <c r="D61" i="3" s="1"/>
  <c r="E58" i="3"/>
  <c r="E64" i="3" s="1"/>
  <c r="C58" i="3"/>
  <c r="E124" i="10"/>
  <c r="D124" i="10"/>
  <c r="C124" i="10"/>
  <c r="J104" i="10"/>
  <c r="J103" i="10"/>
  <c r="K103" i="10" s="1"/>
  <c r="H103" i="10"/>
  <c r="H141" i="10" s="1"/>
  <c r="M90" i="3"/>
  <c r="N90" i="3" s="1"/>
  <c r="C129" i="3"/>
  <c r="E129" i="3"/>
  <c r="D129" i="3"/>
  <c r="H90" i="3"/>
  <c r="J90" i="3"/>
  <c r="K90" i="3" s="1"/>
  <c r="J133" i="3"/>
  <c r="K133" i="3" s="1"/>
  <c r="D137" i="3"/>
  <c r="C137" i="3"/>
  <c r="E137" i="3"/>
  <c r="H131" i="3"/>
  <c r="J98" i="3"/>
  <c r="K98" i="3" s="1"/>
  <c r="J97" i="3"/>
  <c r="K97" i="3" s="1"/>
  <c r="H98" i="3"/>
  <c r="H137" i="3" s="1"/>
  <c r="H132" i="3"/>
  <c r="J132" i="3"/>
  <c r="K132" i="3" s="1"/>
  <c r="J130" i="3"/>
  <c r="K130" i="3" s="1"/>
  <c r="H130" i="3"/>
  <c r="J131" i="3"/>
  <c r="K131" i="3" s="1"/>
  <c r="J85" i="1"/>
  <c r="K85" i="1" s="1"/>
  <c r="J65" i="1"/>
  <c r="K65" i="1" s="1"/>
  <c r="J62" i="1"/>
  <c r="K62" i="1" s="1"/>
  <c r="J64" i="1"/>
  <c r="K64" i="1" s="1"/>
  <c r="J63" i="1"/>
  <c r="K63" i="1" s="1"/>
  <c r="H65" i="1"/>
  <c r="H66" i="1"/>
  <c r="H85" i="1" s="1"/>
  <c r="H63" i="1"/>
  <c r="H139" i="12" l="1"/>
  <c r="B29" i="12" s="1"/>
  <c r="H13" i="12"/>
  <c r="G13" i="12"/>
  <c r="F13" i="12"/>
  <c r="G17" i="12"/>
  <c r="F17" i="12"/>
  <c r="H17" i="12"/>
  <c r="G18" i="12"/>
  <c r="F18" i="12"/>
  <c r="H18" i="12"/>
  <c r="H134" i="12"/>
  <c r="B24" i="12" s="1"/>
  <c r="H135" i="12"/>
  <c r="B25" i="12" s="1"/>
  <c r="H138" i="12"/>
  <c r="B28" i="12" s="1"/>
  <c r="G14" i="12"/>
  <c r="H14" i="12"/>
  <c r="F14" i="12"/>
  <c r="E72" i="3"/>
  <c r="E71" i="3"/>
  <c r="E70" i="3"/>
  <c r="C62" i="3"/>
  <c r="C168" i="3"/>
  <c r="C61" i="3"/>
  <c r="H138" i="11"/>
  <c r="B28" i="11" s="1"/>
  <c r="H139" i="11"/>
  <c r="B29" i="11" s="1"/>
  <c r="K99" i="11"/>
  <c r="H135" i="11"/>
  <c r="B25" i="11" s="1"/>
  <c r="H17" i="11"/>
  <c r="G17" i="11"/>
  <c r="F17" i="11"/>
  <c r="G14" i="11"/>
  <c r="F14" i="11"/>
  <c r="H14" i="11"/>
  <c r="F18" i="11"/>
  <c r="G18" i="11"/>
  <c r="H18" i="11"/>
  <c r="H134" i="11"/>
  <c r="B24" i="11" s="1"/>
  <c r="F13" i="11"/>
  <c r="G13" i="11"/>
  <c r="H13" i="11"/>
  <c r="E69" i="3"/>
  <c r="E168" i="3"/>
  <c r="C69" i="3"/>
  <c r="E61" i="3"/>
  <c r="D64" i="3"/>
  <c r="D168" i="3"/>
  <c r="E169" i="10"/>
  <c r="E183" i="10" s="1"/>
  <c r="H154" i="10"/>
  <c r="B36" i="10" s="1"/>
  <c r="D169" i="10"/>
  <c r="D183" i="10" s="1"/>
  <c r="J141" i="10"/>
  <c r="K141" i="10" s="1"/>
  <c r="F21" i="10"/>
  <c r="H21" i="10"/>
  <c r="G21" i="10"/>
  <c r="J142" i="10"/>
  <c r="K142" i="10" s="1"/>
  <c r="C169" i="10"/>
  <c r="C183" i="10" s="1"/>
  <c r="H155" i="10"/>
  <c r="B37" i="10" s="1"/>
  <c r="D73" i="3"/>
  <c r="C73" i="3"/>
  <c r="D66" i="3"/>
  <c r="C71" i="3"/>
  <c r="C64" i="3"/>
  <c r="H64" i="3" s="1"/>
  <c r="D67" i="3"/>
  <c r="D62" i="3"/>
  <c r="C66" i="3"/>
  <c r="D71" i="3"/>
  <c r="C72" i="3"/>
  <c r="C68" i="3"/>
  <c r="D70" i="3"/>
  <c r="D72" i="3"/>
  <c r="D69" i="3"/>
  <c r="D65" i="3"/>
  <c r="E67" i="3"/>
  <c r="C67" i="3"/>
  <c r="E62" i="3"/>
  <c r="E66" i="3"/>
  <c r="C63" i="3"/>
  <c r="E65" i="3"/>
  <c r="E73" i="3"/>
  <c r="D63" i="3"/>
  <c r="E63" i="3"/>
  <c r="C65" i="3"/>
  <c r="D68" i="3"/>
  <c r="E68" i="3"/>
  <c r="C70" i="3"/>
  <c r="H124" i="10"/>
  <c r="H104" i="10"/>
  <c r="H142" i="10" s="1"/>
  <c r="K104" i="10"/>
  <c r="J128" i="3"/>
  <c r="K128" i="3" s="1"/>
  <c r="H129" i="3"/>
  <c r="J129" i="3"/>
  <c r="K129" i="3" s="1"/>
  <c r="D81" i="1"/>
  <c r="D84" i="1"/>
  <c r="C84" i="1"/>
  <c r="E82" i="1"/>
  <c r="C82" i="1"/>
  <c r="D82" i="1"/>
  <c r="C81" i="1"/>
  <c r="E84" i="1"/>
  <c r="C83" i="1"/>
  <c r="E83" i="1"/>
  <c r="E81" i="1"/>
  <c r="D83" i="1"/>
  <c r="E22" i="12" l="1"/>
  <c r="E23" i="12" s="1"/>
  <c r="E22" i="11"/>
  <c r="E23" i="11" s="1"/>
  <c r="H61" i="3"/>
  <c r="E31" i="3" s="1"/>
  <c r="E26" i="10"/>
  <c r="E27" i="10" s="1"/>
  <c r="H69" i="3"/>
  <c r="H66" i="3"/>
  <c r="F10" i="3"/>
  <c r="H10" i="3"/>
  <c r="G10" i="3"/>
  <c r="F22" i="10"/>
  <c r="G22" i="10"/>
  <c r="H22" i="10"/>
  <c r="H65" i="3"/>
  <c r="H62" i="3"/>
  <c r="H70" i="3"/>
  <c r="H67" i="3"/>
  <c r="H71" i="3"/>
  <c r="H68" i="3"/>
  <c r="H73" i="3"/>
  <c r="H72" i="3"/>
  <c r="H63" i="3"/>
  <c r="J83" i="1"/>
  <c r="K83" i="1" s="1"/>
  <c r="J82" i="1"/>
  <c r="K82" i="1" s="1"/>
  <c r="J81" i="1"/>
  <c r="K81" i="1" s="1"/>
  <c r="J80" i="1"/>
  <c r="K80" i="1" s="1"/>
  <c r="J84" i="1"/>
  <c r="K84" i="1" s="1"/>
  <c r="H83" i="1"/>
  <c r="H84" i="1"/>
  <c r="H82" i="1"/>
  <c r="H81" i="1"/>
  <c r="K62" i="3" l="1"/>
  <c r="C77" i="3" s="1"/>
  <c r="E79" i="3"/>
  <c r="L37" i="1"/>
  <c r="M37" i="1" s="1"/>
  <c r="H36" i="1" s="1"/>
  <c r="L36" i="1"/>
  <c r="M36" i="1" s="1"/>
  <c r="L35" i="1"/>
  <c r="M35" i="1" s="1"/>
  <c r="H37" i="1"/>
  <c r="G37" i="1"/>
  <c r="J23" i="1"/>
  <c r="E160" i="3" l="1"/>
  <c r="E174" i="3" s="1"/>
  <c r="D158" i="3"/>
  <c r="D172" i="3" s="1"/>
  <c r="C84" i="3"/>
  <c r="D160" i="3"/>
  <c r="D174" i="3" s="1"/>
  <c r="C75" i="3"/>
  <c r="C110" i="3" s="1"/>
  <c r="D163" i="3"/>
  <c r="D177" i="3" s="1"/>
  <c r="C163" i="3"/>
  <c r="C177" i="3" s="1"/>
  <c r="E157" i="3"/>
  <c r="E171" i="3" s="1"/>
  <c r="D80" i="3"/>
  <c r="E86" i="3"/>
  <c r="C161" i="3"/>
  <c r="C175" i="3" s="1"/>
  <c r="C158" i="3"/>
  <c r="C172" i="3" s="1"/>
  <c r="C159" i="3"/>
  <c r="C173" i="3" s="1"/>
  <c r="E155" i="3"/>
  <c r="E169" i="3" s="1"/>
  <c r="C83" i="3"/>
  <c r="E83" i="3"/>
  <c r="E118" i="3" s="1"/>
  <c r="C86" i="3"/>
  <c r="C120" i="3"/>
  <c r="E164" i="3"/>
  <c r="E178" i="3" s="1"/>
  <c r="C162" i="3"/>
  <c r="C176" i="3" s="1"/>
  <c r="D155" i="3"/>
  <c r="D169" i="3" s="1"/>
  <c r="D156" i="3"/>
  <c r="D170" i="3" s="1"/>
  <c r="D76" i="3"/>
  <c r="D162" i="3"/>
  <c r="D176" i="3" s="1"/>
  <c r="E159" i="3"/>
  <c r="E173" i="3" s="1"/>
  <c r="E76" i="3"/>
  <c r="E111" i="3" s="1"/>
  <c r="C156" i="3"/>
  <c r="C170" i="3" s="1"/>
  <c r="D86" i="3"/>
  <c r="D121" i="3" s="1"/>
  <c r="E84" i="3"/>
  <c r="E119" i="3" s="1"/>
  <c r="D85" i="3"/>
  <c r="D120" i="3" s="1"/>
  <c r="D82" i="3"/>
  <c r="C160" i="3"/>
  <c r="C174" i="3" s="1"/>
  <c r="D164" i="3"/>
  <c r="D178" i="3" s="1"/>
  <c r="C112" i="3"/>
  <c r="C143" i="3"/>
  <c r="E163" i="3"/>
  <c r="E177" i="3" s="1"/>
  <c r="E162" i="3"/>
  <c r="E176" i="3" s="1"/>
  <c r="C155" i="3"/>
  <c r="C169" i="3" s="1"/>
  <c r="E30" i="3"/>
  <c r="H40" i="1"/>
  <c r="D75" i="3"/>
  <c r="D141" i="3" s="1"/>
  <c r="D157" i="3"/>
  <c r="D171" i="3" s="1"/>
  <c r="E75" i="3"/>
  <c r="E141" i="3" s="1"/>
  <c r="E78" i="3"/>
  <c r="E144" i="3" s="1"/>
  <c r="C157" i="3"/>
  <c r="E81" i="3"/>
  <c r="E147" i="3" s="1"/>
  <c r="E85" i="3"/>
  <c r="E151" i="3" s="1"/>
  <c r="C82" i="3"/>
  <c r="C148" i="3" s="1"/>
  <c r="D77" i="3"/>
  <c r="D143" i="3" s="1"/>
  <c r="D78" i="3"/>
  <c r="D144" i="3" s="1"/>
  <c r="D83" i="3"/>
  <c r="D149" i="3" s="1"/>
  <c r="C79" i="3"/>
  <c r="C114" i="3" s="1"/>
  <c r="C164" i="3"/>
  <c r="C165" i="3"/>
  <c r="C179" i="3" s="1"/>
  <c r="D165" i="3"/>
  <c r="D179" i="3" s="1"/>
  <c r="E161" i="3"/>
  <c r="E175" i="3" s="1"/>
  <c r="E166" i="3"/>
  <c r="E180" i="3" s="1"/>
  <c r="E80" i="3"/>
  <c r="E146" i="3" s="1"/>
  <c r="E158" i="3"/>
  <c r="D159" i="3"/>
  <c r="E77" i="3"/>
  <c r="E112" i="3" s="1"/>
  <c r="E156" i="3"/>
  <c r="D84" i="3"/>
  <c r="D150" i="3" s="1"/>
  <c r="C80" i="3"/>
  <c r="C146" i="3" s="1"/>
  <c r="D79" i="3"/>
  <c r="D114" i="3" s="1"/>
  <c r="C78" i="3"/>
  <c r="C113" i="3" s="1"/>
  <c r="E82" i="3"/>
  <c r="D81" i="3"/>
  <c r="D147" i="3" s="1"/>
  <c r="C76" i="3"/>
  <c r="C111" i="3" s="1"/>
  <c r="C81" i="3"/>
  <c r="C147" i="3" s="1"/>
  <c r="D166" i="3"/>
  <c r="D180" i="3" s="1"/>
  <c r="E165" i="3"/>
  <c r="E179" i="3" s="1"/>
  <c r="D161" i="3"/>
  <c r="D175" i="3" s="1"/>
  <c r="C166" i="3"/>
  <c r="C180" i="3" s="1"/>
  <c r="E120" i="3"/>
  <c r="D112" i="3"/>
  <c r="D118" i="3"/>
  <c r="E114" i="3"/>
  <c r="E145" i="3"/>
  <c r="D119" i="3"/>
  <c r="E117" i="3"/>
  <c r="E148" i="3"/>
  <c r="E142" i="3"/>
  <c r="C118" i="3"/>
  <c r="C149" i="3"/>
  <c r="C141" i="3"/>
  <c r="C119" i="3"/>
  <c r="C150" i="3"/>
  <c r="C121" i="3"/>
  <c r="C152" i="3"/>
  <c r="D115" i="3"/>
  <c r="D146" i="3"/>
  <c r="E150" i="3"/>
  <c r="D111" i="3"/>
  <c r="D142" i="3"/>
  <c r="E121" i="3"/>
  <c r="E152" i="3"/>
  <c r="D117" i="3"/>
  <c r="D148" i="3"/>
  <c r="D110" i="3"/>
  <c r="E110" i="3"/>
  <c r="H35" i="1"/>
  <c r="I37" i="1"/>
  <c r="I41" i="1" s="1"/>
  <c r="I35" i="1"/>
  <c r="I36" i="1"/>
  <c r="D36" i="1" s="1"/>
  <c r="E149" i="3" l="1"/>
  <c r="H149" i="3" s="1"/>
  <c r="B34" i="3" s="1"/>
  <c r="F16" i="3"/>
  <c r="F18" i="3"/>
  <c r="H16" i="3"/>
  <c r="F19" i="3"/>
  <c r="H19" i="3"/>
  <c r="G16" i="3"/>
  <c r="G18" i="3"/>
  <c r="D152" i="3"/>
  <c r="H152" i="3" s="1"/>
  <c r="B37" i="3" s="1"/>
  <c r="H86" i="3"/>
  <c r="H76" i="3"/>
  <c r="H84" i="3"/>
  <c r="G19" i="3"/>
  <c r="F11" i="3"/>
  <c r="D151" i="3"/>
  <c r="C151" i="3"/>
  <c r="H18" i="3"/>
  <c r="H78" i="3"/>
  <c r="H85" i="3"/>
  <c r="H83" i="3"/>
  <c r="C115" i="3"/>
  <c r="H81" i="3"/>
  <c r="E113" i="3"/>
  <c r="D116" i="3"/>
  <c r="C145" i="3"/>
  <c r="E170" i="3"/>
  <c r="F12" i="3" s="1"/>
  <c r="D173" i="3"/>
  <c r="H15" i="3" s="1"/>
  <c r="C178" i="3"/>
  <c r="F20" i="3" s="1"/>
  <c r="C171" i="3"/>
  <c r="G13" i="3" s="1"/>
  <c r="E172" i="3"/>
  <c r="F14" i="3" s="1"/>
  <c r="H39" i="1"/>
  <c r="C37" i="1"/>
  <c r="C36" i="1"/>
  <c r="E36" i="1"/>
  <c r="D41" i="1"/>
  <c r="I40" i="1"/>
  <c r="D35" i="1"/>
  <c r="H11" i="3"/>
  <c r="F21" i="3"/>
  <c r="H17" i="3"/>
  <c r="G11" i="3"/>
  <c r="H21" i="3"/>
  <c r="C144" i="3"/>
  <c r="H144" i="3" s="1"/>
  <c r="B29" i="3" s="1"/>
  <c r="E115" i="3"/>
  <c r="D113" i="3"/>
  <c r="E116" i="3"/>
  <c r="G17" i="3"/>
  <c r="F22" i="3"/>
  <c r="G21" i="3"/>
  <c r="C116" i="3"/>
  <c r="G22" i="3"/>
  <c r="H75" i="3"/>
  <c r="H82" i="3"/>
  <c r="C142" i="3"/>
  <c r="H142" i="3" s="1"/>
  <c r="B27" i="3" s="1"/>
  <c r="D145" i="3"/>
  <c r="E143" i="3"/>
  <c r="H143" i="3" s="1"/>
  <c r="B28" i="3" s="1"/>
  <c r="H79" i="3"/>
  <c r="C117" i="3"/>
  <c r="H117" i="3" s="1"/>
  <c r="F17" i="3"/>
  <c r="H22" i="3"/>
  <c r="H77" i="3"/>
  <c r="H80" i="3"/>
  <c r="H147" i="3"/>
  <c r="B32" i="3" s="1"/>
  <c r="H112" i="3"/>
  <c r="H118" i="3"/>
  <c r="H120" i="3"/>
  <c r="H119" i="3"/>
  <c r="H146" i="3"/>
  <c r="B31" i="3" s="1"/>
  <c r="H121" i="3"/>
  <c r="H111" i="3"/>
  <c r="H150" i="3"/>
  <c r="B35" i="3" s="1"/>
  <c r="H148" i="3"/>
  <c r="B33" i="3" s="1"/>
  <c r="H141" i="3"/>
  <c r="B26" i="3" s="1"/>
  <c r="H110" i="3"/>
  <c r="H114" i="3"/>
  <c r="C35" i="1"/>
  <c r="C38" i="1"/>
  <c r="C39" i="1"/>
  <c r="D37" i="1"/>
  <c r="D40" i="1"/>
  <c r="E39" i="1"/>
  <c r="E37" i="1"/>
  <c r="D38" i="1"/>
  <c r="C40" i="1"/>
  <c r="C41" i="1"/>
  <c r="E41" i="1"/>
  <c r="D39" i="1"/>
  <c r="E35" i="1"/>
  <c r="E40" i="1"/>
  <c r="E38" i="1"/>
  <c r="H115" i="3" l="1"/>
  <c r="H113" i="3"/>
  <c r="H151" i="3"/>
  <c r="B36" i="3" s="1"/>
  <c r="H145" i="3"/>
  <c r="B30" i="3" s="1"/>
  <c r="D42" i="1"/>
  <c r="D51" i="1" s="1"/>
  <c r="K75" i="3"/>
  <c r="H116" i="3"/>
  <c r="E42" i="1"/>
  <c r="C42" i="1"/>
  <c r="C102" i="1" s="1"/>
  <c r="H12" i="3"/>
  <c r="G12" i="3"/>
  <c r="H20" i="3"/>
  <c r="F13" i="3"/>
  <c r="H13" i="3"/>
  <c r="G20" i="3"/>
  <c r="H14" i="3"/>
  <c r="G14" i="3"/>
  <c r="G15" i="3"/>
  <c r="F15" i="3"/>
  <c r="E26" i="3" l="1"/>
  <c r="E27" i="3" s="1"/>
  <c r="D48" i="1"/>
  <c r="D102" i="1"/>
  <c r="D47" i="1"/>
  <c r="D50" i="1"/>
  <c r="D46" i="1"/>
  <c r="D49" i="1"/>
  <c r="D45" i="1"/>
  <c r="E46" i="1"/>
  <c r="E102" i="1"/>
  <c r="C49" i="1"/>
  <c r="C48" i="1"/>
  <c r="C50" i="1"/>
  <c r="C47" i="1"/>
  <c r="C51" i="1"/>
  <c r="C45" i="1"/>
  <c r="C46" i="1"/>
  <c r="E47" i="1"/>
  <c r="E51" i="1"/>
  <c r="E50" i="1"/>
  <c r="E49" i="1"/>
  <c r="E45" i="1"/>
  <c r="E48" i="1"/>
  <c r="G10" i="1" l="1"/>
  <c r="H10" i="1"/>
  <c r="H45" i="1"/>
  <c r="E25" i="1" s="1"/>
  <c r="F10" i="1"/>
  <c r="H50" i="1"/>
  <c r="H47" i="1"/>
  <c r="H46" i="1"/>
  <c r="H51" i="1"/>
  <c r="H48" i="1"/>
  <c r="H49" i="1"/>
  <c r="K46" i="1" l="1"/>
  <c r="E24" i="1" s="1"/>
  <c r="E100" i="1" l="1"/>
  <c r="E108" i="1" s="1"/>
  <c r="D100" i="1"/>
  <c r="D108" i="1" s="1"/>
  <c r="D95" i="1"/>
  <c r="D103" i="1" s="1"/>
  <c r="E95" i="1"/>
  <c r="E103" i="1" s="1"/>
  <c r="C95" i="1"/>
  <c r="C103" i="1" s="1"/>
  <c r="C100" i="1"/>
  <c r="C108" i="1" s="1"/>
  <c r="C98" i="1"/>
  <c r="C106" i="1" s="1"/>
  <c r="E99" i="1"/>
  <c r="E107" i="1" s="1"/>
  <c r="C99" i="1"/>
  <c r="C107" i="1" s="1"/>
  <c r="C97" i="1"/>
  <c r="C105" i="1" s="1"/>
  <c r="E97" i="1"/>
  <c r="E105" i="1" s="1"/>
  <c r="E98" i="1"/>
  <c r="E106" i="1" s="1"/>
  <c r="D96" i="1"/>
  <c r="D104" i="1" s="1"/>
  <c r="E96" i="1"/>
  <c r="E104" i="1" s="1"/>
  <c r="D97" i="1"/>
  <c r="D105" i="1" s="1"/>
  <c r="D98" i="1"/>
  <c r="D106" i="1" s="1"/>
  <c r="C96" i="1"/>
  <c r="C104" i="1" s="1"/>
  <c r="D99" i="1"/>
  <c r="D107" i="1" s="1"/>
  <c r="C56" i="1"/>
  <c r="C90" i="1" s="1"/>
  <c r="C53" i="1"/>
  <c r="C68" i="1" s="1"/>
  <c r="C87" i="1" s="1"/>
  <c r="C57" i="1"/>
  <c r="C91" i="1" s="1"/>
  <c r="D54" i="1"/>
  <c r="D53" i="1"/>
  <c r="D68" i="1" s="1"/>
  <c r="D87" i="1" s="1"/>
  <c r="C55" i="1"/>
  <c r="C89" i="1" s="1"/>
  <c r="C58" i="1"/>
  <c r="C73" i="1" s="1"/>
  <c r="C92" i="1" s="1"/>
  <c r="D55" i="1"/>
  <c r="D57" i="1"/>
  <c r="D58" i="1"/>
  <c r="D73" i="1" s="1"/>
  <c r="D92" i="1" s="1"/>
  <c r="D56" i="1"/>
  <c r="C54" i="1"/>
  <c r="C88" i="1" s="1"/>
  <c r="E57" i="1"/>
  <c r="E91" i="1" s="1"/>
  <c r="E53" i="1"/>
  <c r="E55" i="1"/>
  <c r="E89" i="1" s="1"/>
  <c r="E58" i="1"/>
  <c r="E56" i="1"/>
  <c r="E54" i="1"/>
  <c r="E88" i="1" s="1"/>
  <c r="F14" i="1" l="1"/>
  <c r="G14" i="1"/>
  <c r="H14" i="1"/>
  <c r="G13" i="1"/>
  <c r="F13" i="1"/>
  <c r="H13" i="1"/>
  <c r="G16" i="1"/>
  <c r="F16" i="1"/>
  <c r="H16" i="1"/>
  <c r="G12" i="1"/>
  <c r="H12" i="1"/>
  <c r="F12" i="1"/>
  <c r="H15" i="1"/>
  <c r="F15" i="1"/>
  <c r="G15" i="1"/>
  <c r="G11" i="1"/>
  <c r="H11" i="1"/>
  <c r="F11" i="1"/>
  <c r="D70" i="1"/>
  <c r="D89" i="1"/>
  <c r="H89" i="1" s="1"/>
  <c r="B22" i="1" s="1"/>
  <c r="D69" i="1"/>
  <c r="D88" i="1"/>
  <c r="H88" i="1" s="1"/>
  <c r="B21" i="1" s="1"/>
  <c r="D71" i="1"/>
  <c r="D90" i="1"/>
  <c r="E71" i="1"/>
  <c r="E90" i="1"/>
  <c r="D72" i="1"/>
  <c r="D91" i="1"/>
  <c r="H91" i="1" s="1"/>
  <c r="B24" i="1" s="1"/>
  <c r="E68" i="1"/>
  <c r="C69" i="1"/>
  <c r="E70" i="1"/>
  <c r="E72" i="1"/>
  <c r="C71" i="1"/>
  <c r="H56" i="1"/>
  <c r="H58" i="1"/>
  <c r="E73" i="1"/>
  <c r="E92" i="1" s="1"/>
  <c r="H92" i="1" s="1"/>
  <c r="B25" i="1" s="1"/>
  <c r="C72" i="1"/>
  <c r="H57" i="1"/>
  <c r="H54" i="1"/>
  <c r="E69" i="1"/>
  <c r="C70" i="1"/>
  <c r="H55" i="1"/>
  <c r="H53" i="1"/>
  <c r="K53" i="1" l="1"/>
  <c r="H68" i="1"/>
  <c r="E87" i="1"/>
  <c r="H87" i="1" s="1"/>
  <c r="B20" i="1" s="1"/>
  <c r="H90" i="1"/>
  <c r="B23" i="1" s="1"/>
  <c r="H71" i="1"/>
  <c r="H69" i="1"/>
  <c r="H73" i="1"/>
  <c r="H70" i="1"/>
  <c r="H72" i="1"/>
  <c r="E20" i="1" l="1"/>
  <c r="E21" i="1" s="1"/>
  <c r="D98" i="7"/>
  <c r="D103" i="7" s="1"/>
  <c r="D116" i="7" s="1"/>
  <c r="C116" i="7" l="1"/>
  <c r="C129" i="7"/>
  <c r="E111" i="7"/>
  <c r="E103" i="7"/>
  <c r="E116" i="7" s="1"/>
  <c r="D111" i="7"/>
  <c r="E99" i="7"/>
  <c r="H98" i="7"/>
  <c r="D99" i="7"/>
  <c r="J97" i="7"/>
  <c r="K97" i="7" s="1"/>
  <c r="C111" i="7"/>
  <c r="H116" i="7" l="1"/>
  <c r="H103" i="7"/>
  <c r="H134" i="7" s="1"/>
  <c r="E112" i="7"/>
  <c r="E104" i="7"/>
  <c r="E117" i="7" s="1"/>
  <c r="C117" i="7"/>
  <c r="D112" i="7"/>
  <c r="D104" i="7"/>
  <c r="D117" i="7" s="1"/>
  <c r="H111" i="7"/>
  <c r="D100" i="7"/>
  <c r="D105" i="7" s="1"/>
  <c r="D118" i="7" s="1"/>
  <c r="C112" i="7"/>
  <c r="J98" i="7"/>
  <c r="K98" i="7" s="1"/>
  <c r="H99" i="7"/>
  <c r="E100" i="7"/>
  <c r="E105" i="7" s="1"/>
  <c r="E118" i="7" s="1"/>
  <c r="C100" i="7"/>
  <c r="H112" i="7" l="1"/>
  <c r="J99" i="7"/>
  <c r="K99" i="7" s="1"/>
  <c r="J103" i="7"/>
  <c r="K103" i="7" s="1"/>
  <c r="H117" i="7"/>
  <c r="H104" i="7"/>
  <c r="H135" i="7" s="1"/>
  <c r="E113" i="7"/>
  <c r="H100" i="7"/>
  <c r="C113" i="7"/>
  <c r="M97" i="7"/>
  <c r="N97" i="7" s="1"/>
  <c r="D101" i="7"/>
  <c r="M104" i="7"/>
  <c r="N104" i="7" s="1"/>
  <c r="E101" i="7"/>
  <c r="C101" i="7"/>
  <c r="D113" i="7"/>
  <c r="E114" i="7" l="1"/>
  <c r="E106" i="7"/>
  <c r="E119" i="7" s="1"/>
  <c r="D114" i="7"/>
  <c r="D106" i="7"/>
  <c r="D119" i="7" s="1"/>
  <c r="C119" i="7"/>
  <c r="H105" i="7"/>
  <c r="H136" i="7" s="1"/>
  <c r="C118" i="7"/>
  <c r="H118" i="7" s="1"/>
  <c r="M103" i="7"/>
  <c r="N103" i="7" s="1"/>
  <c r="J104" i="7"/>
  <c r="K104" i="7" s="1"/>
  <c r="D131" i="7"/>
  <c r="D144" i="7" s="1"/>
  <c r="C131" i="7"/>
  <c r="C135" i="7"/>
  <c r="C136" i="7"/>
  <c r="C134" i="7"/>
  <c r="C130" i="7"/>
  <c r="E136" i="7"/>
  <c r="E128" i="7"/>
  <c r="E139" i="7"/>
  <c r="E134" i="7"/>
  <c r="E135" i="7"/>
  <c r="E129" i="7"/>
  <c r="E130" i="7"/>
  <c r="E102" i="7"/>
  <c r="E132" i="7"/>
  <c r="C102" i="7"/>
  <c r="D102" i="7"/>
  <c r="C114" i="7"/>
  <c r="D132" i="7"/>
  <c r="M101" i="7"/>
  <c r="N101" i="7" s="1"/>
  <c r="H101" i="7"/>
  <c r="C132" i="7"/>
  <c r="E131" i="7"/>
  <c r="D134" i="7"/>
  <c r="D128" i="7"/>
  <c r="D136" i="7"/>
  <c r="D135" i="7"/>
  <c r="D139" i="7"/>
  <c r="D129" i="7"/>
  <c r="D130" i="7"/>
  <c r="J100" i="7"/>
  <c r="K100" i="7" s="1"/>
  <c r="H113" i="7"/>
  <c r="E137" i="7" l="1"/>
  <c r="E150" i="7" s="1"/>
  <c r="J131" i="7"/>
  <c r="K131" i="7" s="1"/>
  <c r="D137" i="7"/>
  <c r="D164" i="7" s="1"/>
  <c r="D178" i="7" s="1"/>
  <c r="H106" i="7"/>
  <c r="H137" i="7" s="1"/>
  <c r="J129" i="7"/>
  <c r="K129" i="7" s="1"/>
  <c r="C137" i="7"/>
  <c r="C164" i="7" s="1"/>
  <c r="C178" i="7" s="1"/>
  <c r="C158" i="7"/>
  <c r="C172" i="7" s="1"/>
  <c r="H114" i="7"/>
  <c r="E115" i="7"/>
  <c r="E107" i="7"/>
  <c r="E120" i="7" s="1"/>
  <c r="J134" i="7"/>
  <c r="K134" i="7" s="1"/>
  <c r="C144" i="7"/>
  <c r="H119" i="7"/>
  <c r="D115" i="7"/>
  <c r="D107" i="7"/>
  <c r="J135" i="7"/>
  <c r="K135" i="7" s="1"/>
  <c r="C120" i="7"/>
  <c r="J130" i="7"/>
  <c r="K130" i="7" s="1"/>
  <c r="J128" i="7"/>
  <c r="K128" i="7" s="1"/>
  <c r="J139" i="7"/>
  <c r="K139" i="7" s="1"/>
  <c r="J105" i="7"/>
  <c r="K105" i="7" s="1"/>
  <c r="D158" i="7"/>
  <c r="D172" i="7" s="1"/>
  <c r="H131" i="7"/>
  <c r="D143" i="7"/>
  <c r="D157" i="7"/>
  <c r="D171" i="7" s="1"/>
  <c r="D161" i="7"/>
  <c r="D175" i="7" s="1"/>
  <c r="D147" i="7"/>
  <c r="M102" i="7"/>
  <c r="N102" i="7" s="1"/>
  <c r="D133" i="7"/>
  <c r="H102" i="7"/>
  <c r="H133" i="7" s="1"/>
  <c r="C133" i="7"/>
  <c r="C115" i="7"/>
  <c r="E133" i="7"/>
  <c r="J102" i="7"/>
  <c r="K102" i="7" s="1"/>
  <c r="M98" i="7"/>
  <c r="N98" i="7" s="1"/>
  <c r="M100" i="7"/>
  <c r="N100" i="7" s="1"/>
  <c r="E163" i="7"/>
  <c r="E177" i="7" s="1"/>
  <c r="E149" i="7"/>
  <c r="C163" i="7"/>
  <c r="C177" i="7" s="1"/>
  <c r="C149" i="7"/>
  <c r="C162" i="7"/>
  <c r="C176" i="7" s="1"/>
  <c r="C148" i="7"/>
  <c r="D142" i="7"/>
  <c r="D156" i="7"/>
  <c r="D170" i="7" s="1"/>
  <c r="D155" i="7"/>
  <c r="D169" i="7" s="1"/>
  <c r="D141" i="7"/>
  <c r="E144" i="7"/>
  <c r="E158" i="7"/>
  <c r="E172" i="7" s="1"/>
  <c r="D145" i="7"/>
  <c r="D159" i="7"/>
  <c r="D173" i="7" s="1"/>
  <c r="E145" i="7"/>
  <c r="E159" i="7"/>
  <c r="E173" i="7" s="1"/>
  <c r="E142" i="7"/>
  <c r="E156" i="7"/>
  <c r="E170" i="7" s="1"/>
  <c r="E152" i="7"/>
  <c r="E166" i="7"/>
  <c r="E180" i="7" s="1"/>
  <c r="H130" i="7"/>
  <c r="C157" i="7"/>
  <c r="C171" i="7" s="1"/>
  <c r="C143" i="7"/>
  <c r="C155" i="7"/>
  <c r="C169" i="7" s="1"/>
  <c r="C141" i="7"/>
  <c r="C166" i="7"/>
  <c r="C180" i="7" s="1"/>
  <c r="C152" i="7"/>
  <c r="D163" i="7"/>
  <c r="D177" i="7" s="1"/>
  <c r="D149" i="7"/>
  <c r="E157" i="7"/>
  <c r="E171" i="7" s="1"/>
  <c r="E143" i="7"/>
  <c r="D152" i="7"/>
  <c r="D166" i="7"/>
  <c r="D180" i="7" s="1"/>
  <c r="C159" i="7"/>
  <c r="C173" i="7" s="1"/>
  <c r="C145" i="7"/>
  <c r="H132" i="7"/>
  <c r="J101" i="7"/>
  <c r="K101" i="7" s="1"/>
  <c r="E162" i="7"/>
  <c r="E176" i="7" s="1"/>
  <c r="E148" i="7"/>
  <c r="C142" i="7"/>
  <c r="H129" i="7"/>
  <c r="C156" i="7"/>
  <c r="C170" i="7" s="1"/>
  <c r="D148" i="7"/>
  <c r="D162" i="7"/>
  <c r="D176" i="7" s="1"/>
  <c r="E147" i="7"/>
  <c r="E161" i="7"/>
  <c r="E175" i="7" s="1"/>
  <c r="E141" i="7"/>
  <c r="E155" i="7"/>
  <c r="E169" i="7" s="1"/>
  <c r="C161" i="7"/>
  <c r="C175" i="7" s="1"/>
  <c r="C147" i="7"/>
  <c r="D150" i="7" l="1"/>
  <c r="E164" i="7"/>
  <c r="H144" i="7"/>
  <c r="B29" i="7" s="1"/>
  <c r="C150" i="7"/>
  <c r="J107" i="7"/>
  <c r="K107" i="7" s="1"/>
  <c r="C138" i="7"/>
  <c r="H115" i="7"/>
  <c r="J106" i="7"/>
  <c r="K106" i="7" s="1"/>
  <c r="J133" i="7"/>
  <c r="D120" i="7"/>
  <c r="H120" i="7" s="1"/>
  <c r="E138" i="7"/>
  <c r="J132" i="7"/>
  <c r="K132" i="7" s="1"/>
  <c r="H107" i="7"/>
  <c r="H138" i="7" s="1"/>
  <c r="D138" i="7"/>
  <c r="J136" i="7"/>
  <c r="K136" i="7" s="1"/>
  <c r="G14" i="7"/>
  <c r="H14" i="7"/>
  <c r="F14" i="7"/>
  <c r="H147" i="7"/>
  <c r="B32" i="7" s="1"/>
  <c r="H152" i="7"/>
  <c r="B37" i="7" s="1"/>
  <c r="H145" i="7"/>
  <c r="B30" i="7" s="1"/>
  <c r="H22" i="7"/>
  <c r="G22" i="7"/>
  <c r="F22" i="7"/>
  <c r="H143" i="7"/>
  <c r="B28" i="7" s="1"/>
  <c r="H149" i="7"/>
  <c r="B34" i="7" s="1"/>
  <c r="C146" i="7"/>
  <c r="C160" i="7"/>
  <c r="C174" i="7" s="1"/>
  <c r="K133" i="7"/>
  <c r="F17" i="7"/>
  <c r="H17" i="7"/>
  <c r="G17" i="7"/>
  <c r="H142" i="7"/>
  <c r="B27" i="7" s="1"/>
  <c r="H141" i="7"/>
  <c r="B26" i="7" s="1"/>
  <c r="H13" i="7"/>
  <c r="F13" i="7"/>
  <c r="G13" i="7"/>
  <c r="F19" i="7"/>
  <c r="G19" i="7"/>
  <c r="H19" i="7"/>
  <c r="E146" i="7"/>
  <c r="E160" i="7"/>
  <c r="E174" i="7" s="1"/>
  <c r="D146" i="7"/>
  <c r="D160" i="7"/>
  <c r="D174" i="7" s="1"/>
  <c r="H18" i="7"/>
  <c r="G18" i="7"/>
  <c r="F18" i="7"/>
  <c r="F12" i="7"/>
  <c r="G12" i="7"/>
  <c r="H12" i="7"/>
  <c r="H15" i="7"/>
  <c r="F15" i="7"/>
  <c r="G15" i="7"/>
  <c r="G11" i="7"/>
  <c r="F11" i="7"/>
  <c r="H11" i="7"/>
  <c r="H148" i="7"/>
  <c r="B33" i="7" s="1"/>
  <c r="E178" i="7" l="1"/>
  <c r="F20" i="7" s="1"/>
  <c r="H150" i="7"/>
  <c r="B35" i="7" s="1"/>
  <c r="C151" i="7"/>
  <c r="C165" i="7"/>
  <c r="C179" i="7" s="1"/>
  <c r="D165" i="7"/>
  <c r="D179" i="7" s="1"/>
  <c r="D151" i="7"/>
  <c r="J138" i="7"/>
  <c r="K138" i="7" s="1"/>
  <c r="E151" i="7"/>
  <c r="E165" i="7"/>
  <c r="E179" i="7" s="1"/>
  <c r="J137" i="7"/>
  <c r="K137" i="7" s="1"/>
  <c r="H16" i="7"/>
  <c r="F16" i="7"/>
  <c r="G16" i="7"/>
  <c r="H146" i="7"/>
  <c r="B31" i="7" s="1"/>
  <c r="G20" i="7" l="1"/>
  <c r="H20" i="7"/>
  <c r="H151" i="7"/>
  <c r="B36" i="7" s="1"/>
  <c r="E26" i="7" s="1"/>
  <c r="E27" i="7" s="1"/>
  <c r="H21" i="7"/>
  <c r="G21" i="7"/>
  <c r="F21" i="7"/>
  <c r="D88" i="8" l="1"/>
  <c r="H74" i="8"/>
  <c r="E88" i="8"/>
  <c r="J73" i="8"/>
  <c r="K73" i="8" s="1"/>
  <c r="E100" i="8"/>
  <c r="E115" i="8" s="1"/>
  <c r="E123" i="8" s="1"/>
  <c r="D100" i="8"/>
  <c r="D107" i="8" s="1"/>
  <c r="J75" i="8"/>
  <c r="K75" i="8" s="1"/>
  <c r="C100" i="8"/>
  <c r="C115" i="8" s="1"/>
  <c r="C123" i="8" s="1"/>
  <c r="D115" i="8" l="1"/>
  <c r="H88" i="8"/>
  <c r="C107" i="8"/>
  <c r="E107" i="8"/>
  <c r="J99" i="8"/>
  <c r="K99" i="8" s="1"/>
  <c r="H100" i="8"/>
  <c r="J100" i="8"/>
  <c r="K100" i="8" s="1"/>
  <c r="H75" i="8"/>
  <c r="H101" i="8" s="1"/>
  <c r="C89" i="8"/>
  <c r="J74" i="8"/>
  <c r="K74" i="8" s="1"/>
  <c r="D123" i="8" l="1"/>
  <c r="G15" i="8" s="1"/>
  <c r="H107" i="8"/>
  <c r="B24" i="8" s="1"/>
  <c r="C116" i="8"/>
  <c r="C124" i="8" s="1"/>
  <c r="J101" i="8"/>
  <c r="K101" i="8" s="1"/>
  <c r="H108" i="8"/>
  <c r="B25" i="8" s="1"/>
  <c r="H89" i="8"/>
  <c r="F15" i="8" l="1"/>
  <c r="H15" i="8"/>
  <c r="E20" i="8"/>
  <c r="E21" i="8" s="1"/>
  <c r="H16" i="8"/>
  <c r="F16" i="8"/>
  <c r="G16" i="8"/>
  <c r="H87" i="13" l="1"/>
  <c r="E68" i="13"/>
  <c r="H68" i="13" l="1"/>
  <c r="K61" i="13" s="1"/>
  <c r="E132" i="13" s="1"/>
  <c r="E142" i="13" s="1"/>
  <c r="E135" i="13" l="1"/>
  <c r="E145" i="13" s="1"/>
  <c r="D70" i="13"/>
  <c r="E134" i="13"/>
  <c r="E144" i="13" s="1"/>
  <c r="D132" i="13"/>
  <c r="D142" i="13" s="1"/>
  <c r="D134" i="13"/>
  <c r="D144" i="13" s="1"/>
  <c r="C70" i="13"/>
  <c r="C119" i="13" s="1"/>
  <c r="C74" i="13"/>
  <c r="C100" i="13" s="1"/>
  <c r="C71" i="13"/>
  <c r="C120" i="13" s="1"/>
  <c r="C76" i="13"/>
  <c r="C125" i="13" s="1"/>
  <c r="E75" i="13"/>
  <c r="C77" i="13"/>
  <c r="C103" i="13" s="1"/>
  <c r="C75" i="13"/>
  <c r="E74" i="13"/>
  <c r="H74" i="13" s="1"/>
  <c r="D72" i="13"/>
  <c r="E73" i="13"/>
  <c r="E99" i="13" s="1"/>
  <c r="D76" i="13"/>
  <c r="D125" i="13" s="1"/>
  <c r="D77" i="13"/>
  <c r="D103" i="13" s="1"/>
  <c r="D71" i="13"/>
  <c r="D97" i="13" s="1"/>
  <c r="E71" i="13"/>
  <c r="E97" i="13" s="1"/>
  <c r="C73" i="13"/>
  <c r="E76" i="13"/>
  <c r="E102" i="13" s="1"/>
  <c r="D73" i="13"/>
  <c r="D74" i="13"/>
  <c r="D100" i="13" s="1"/>
  <c r="D75" i="13"/>
  <c r="E72" i="13"/>
  <c r="E98" i="13" s="1"/>
  <c r="C72" i="13"/>
  <c r="C121" i="13" s="1"/>
  <c r="C136" i="13"/>
  <c r="C146" i="13" s="1"/>
  <c r="D131" i="13"/>
  <c r="D141" i="13" s="1"/>
  <c r="E136" i="13"/>
  <c r="E146" i="13" s="1"/>
  <c r="D130" i="13"/>
  <c r="D140" i="13" s="1"/>
  <c r="C135" i="13"/>
  <c r="C145" i="13" s="1"/>
  <c r="E26" i="13"/>
  <c r="C134" i="13"/>
  <c r="C144" i="13" s="1"/>
  <c r="C129" i="13"/>
  <c r="C139" i="13" s="1"/>
  <c r="C131" i="13"/>
  <c r="C141" i="13" s="1"/>
  <c r="C130" i="13"/>
  <c r="C140" i="13" s="1"/>
  <c r="D133" i="13"/>
  <c r="D143" i="13" s="1"/>
  <c r="E129" i="13"/>
  <c r="E139" i="13" s="1"/>
  <c r="E133" i="13"/>
  <c r="E143" i="13" s="1"/>
  <c r="E130" i="13"/>
  <c r="E140" i="13" s="1"/>
  <c r="E131" i="13"/>
  <c r="E141" i="13" s="1"/>
  <c r="C133" i="13"/>
  <c r="C143" i="13" s="1"/>
  <c r="D136" i="13"/>
  <c r="D146" i="13" s="1"/>
  <c r="E70" i="13"/>
  <c r="E119" i="13" s="1"/>
  <c r="D129" i="13"/>
  <c r="D139" i="13" s="1"/>
  <c r="D135" i="13"/>
  <c r="D145" i="13" s="1"/>
  <c r="E77" i="13"/>
  <c r="E103" i="13" s="1"/>
  <c r="C132" i="13"/>
  <c r="C142" i="13" s="1"/>
  <c r="G14" i="13" s="1"/>
  <c r="D126" i="13"/>
  <c r="D124" i="13"/>
  <c r="D101" i="13"/>
  <c r="C126" i="13"/>
  <c r="D121" i="13"/>
  <c r="D98" i="13"/>
  <c r="C96" i="13"/>
  <c r="D120" i="13"/>
  <c r="C99" i="13"/>
  <c r="E96" i="13"/>
  <c r="C123" i="13"/>
  <c r="E126" i="13"/>
  <c r="E120" i="13"/>
  <c r="D96" i="13"/>
  <c r="D119" i="13"/>
  <c r="E124" i="13"/>
  <c r="E101" i="13"/>
  <c r="C98" i="13"/>
  <c r="D99" i="13"/>
  <c r="D122" i="13"/>
  <c r="E122" i="13"/>
  <c r="C101" i="13"/>
  <c r="C124" i="13"/>
  <c r="D123" i="13"/>
  <c r="H73" i="13" l="1"/>
  <c r="H75" i="13"/>
  <c r="F16" i="13"/>
  <c r="F17" i="13"/>
  <c r="H124" i="13"/>
  <c r="B27" i="13" s="1"/>
  <c r="G17" i="13"/>
  <c r="H12" i="13"/>
  <c r="H11" i="13"/>
  <c r="G12" i="13"/>
  <c r="H14" i="13"/>
  <c r="F14" i="13"/>
  <c r="H129" i="13"/>
  <c r="F13" i="13"/>
  <c r="F15" i="13"/>
  <c r="F18" i="13"/>
  <c r="H17" i="13"/>
  <c r="E125" i="13"/>
  <c r="D102" i="13"/>
  <c r="C122" i="13"/>
  <c r="H122" i="13" s="1"/>
  <c r="B25" i="13" s="1"/>
  <c r="C97" i="13"/>
  <c r="H16" i="13"/>
  <c r="H72" i="13"/>
  <c r="H18" i="13"/>
  <c r="H70" i="13"/>
  <c r="H71" i="13"/>
  <c r="G16" i="13"/>
  <c r="H76" i="13"/>
  <c r="E123" i="13"/>
  <c r="H123" i="13" s="1"/>
  <c r="B26" i="13" s="1"/>
  <c r="H77" i="13"/>
  <c r="H15" i="13"/>
  <c r="G130" i="13"/>
  <c r="G15" i="13"/>
  <c r="H130" i="13"/>
  <c r="F11" i="13"/>
  <c r="I129" i="13"/>
  <c r="F12" i="13"/>
  <c r="G129" i="13"/>
  <c r="H13" i="13"/>
  <c r="G11" i="13"/>
  <c r="C102" i="13"/>
  <c r="I130" i="13"/>
  <c r="E121" i="13"/>
  <c r="G13" i="13"/>
  <c r="E100" i="13"/>
  <c r="H100" i="13" s="1"/>
  <c r="G18" i="13"/>
  <c r="H121" i="13"/>
  <c r="B24" i="13" s="1"/>
  <c r="H101" i="13"/>
  <c r="H98" i="13"/>
  <c r="H125" i="13"/>
  <c r="B28" i="13" s="1"/>
  <c r="H96" i="13"/>
  <c r="H119" i="13"/>
  <c r="B22" i="13" s="1"/>
  <c r="H126" i="13"/>
  <c r="B29" i="13" s="1"/>
  <c r="H120" i="13"/>
  <c r="B23" i="13" s="1"/>
  <c r="H99" i="13"/>
  <c r="H103" i="13"/>
  <c r="H97" i="13"/>
  <c r="K70" i="13" l="1"/>
  <c r="H102" i="13"/>
  <c r="K129" i="13"/>
  <c r="E35" i="13" s="1"/>
  <c r="E34" i="13" s="1"/>
  <c r="K130" i="13"/>
  <c r="E31" i="13" s="1"/>
  <c r="E30" i="13" s="1"/>
  <c r="E22" i="13"/>
  <c r="E23" i="13" s="1"/>
  <c r="G31" i="13" l="1"/>
</calcChain>
</file>

<file path=xl/sharedStrings.xml><?xml version="1.0" encoding="utf-8"?>
<sst xmlns="http://schemas.openxmlformats.org/spreadsheetml/2006/main" count="2694" uniqueCount="392">
  <si>
    <t>Compound name</t>
  </si>
  <si>
    <t>unit cell dimensions (in pm)</t>
  </si>
  <si>
    <t>a-axis</t>
  </si>
  <si>
    <t>b-axis</t>
  </si>
  <si>
    <t>c-axis</t>
  </si>
  <si>
    <t>atom</t>
  </si>
  <si>
    <t>x/a</t>
  </si>
  <si>
    <t>y/b</t>
  </si>
  <si>
    <t>z/c</t>
  </si>
  <si>
    <t>Ligand 1             P1</t>
  </si>
  <si>
    <t>Ligand 2             P2</t>
  </si>
  <si>
    <t>Ligand 3             P3</t>
  </si>
  <si>
    <t>Ligand 4             P4</t>
  </si>
  <si>
    <t>Ligand 5             P5</t>
  </si>
  <si>
    <t>Excel Solver:</t>
  </si>
  <si>
    <t>cell of this colour</t>
  </si>
  <si>
    <t xml:space="preserve">has to be minimized by </t>
  </si>
  <si>
    <t>deviation</t>
  </si>
  <si>
    <t>average deviation of 1 atom</t>
  </si>
  <si>
    <t>P1</t>
  </si>
  <si>
    <t>normalized</t>
  </si>
  <si>
    <t>should look like this then:</t>
  </si>
  <si>
    <t>P2</t>
  </si>
  <si>
    <t>real</t>
  </si>
  <si>
    <t>pm</t>
  </si>
  <si>
    <t>P3</t>
  </si>
  <si>
    <t>P4</t>
  </si>
  <si>
    <t>turning angle of respective ideal octahedron</t>
  </si>
  <si>
    <t>P5</t>
  </si>
  <si>
    <t>rad</t>
  </si>
  <si>
    <t>°</t>
  </si>
  <si>
    <t>x</t>
  </si>
  <si>
    <t>y</t>
  </si>
  <si>
    <t>z</t>
  </si>
  <si>
    <t>length of vector P0</t>
  </si>
  <si>
    <t>Z-P1</t>
  </si>
  <si>
    <t>vector P1</t>
  </si>
  <si>
    <t>length of vector P1</t>
  </si>
  <si>
    <t>Z-P2</t>
  </si>
  <si>
    <t>vector P2</t>
  </si>
  <si>
    <t>length of vector P2</t>
  </si>
  <si>
    <t>Z-P3</t>
  </si>
  <si>
    <t>vector P3</t>
  </si>
  <si>
    <t>length of vector P3</t>
  </si>
  <si>
    <t>Z-P4</t>
  </si>
  <si>
    <t>vector P4</t>
  </si>
  <si>
    <t>length of vector P4</t>
  </si>
  <si>
    <t>Z-P5</t>
  </si>
  <si>
    <t>vector P5</t>
  </si>
  <si>
    <t>length of vector P5</t>
  </si>
  <si>
    <t>average of lengths</t>
  </si>
  <si>
    <r>
      <rPr>
        <sz val="11"/>
        <color theme="1"/>
        <rFont val="Calibri"/>
        <family val="2"/>
      </rPr>
      <t>α</t>
    </r>
    <r>
      <rPr>
        <sz val="11"/>
        <color theme="1"/>
        <rFont val="Calibri"/>
        <family val="2"/>
        <scheme val="minor"/>
      </rPr>
      <t>-angle</t>
    </r>
  </si>
  <si>
    <t>β-angle</t>
  </si>
  <si>
    <r>
      <rPr>
        <sz val="11"/>
        <color theme="1"/>
        <rFont val="Calibri"/>
        <family val="2"/>
      </rPr>
      <t>γ-</t>
    </r>
    <r>
      <rPr>
        <sz val="11"/>
        <color theme="1"/>
        <rFont val="Calibri"/>
        <family val="2"/>
        <scheme val="minor"/>
      </rPr>
      <t>angle</t>
    </r>
  </si>
  <si>
    <t>θ</t>
  </si>
  <si>
    <t>ϕ</t>
  </si>
  <si>
    <t>angle</t>
  </si>
  <si>
    <t>ligand</t>
  </si>
  <si>
    <t>P1*</t>
  </si>
  <si>
    <t>P2*</t>
  </si>
  <si>
    <t>P3*</t>
  </si>
  <si>
    <t>P4*</t>
  </si>
  <si>
    <t>P5*</t>
  </si>
  <si>
    <t>x = sinθ cosϕ</t>
  </si>
  <si>
    <t>y = sinθ sinϕ</t>
  </si>
  <si>
    <t>z = cosθ</t>
  </si>
  <si>
    <t>length of vector P0*</t>
  </si>
  <si>
    <t>length of vector P1*</t>
  </si>
  <si>
    <t>length of vector P2*</t>
  </si>
  <si>
    <t>length of vector P3*</t>
  </si>
  <si>
    <t>length of vector P4*</t>
  </si>
  <si>
    <t>length of vector P5*</t>
  </si>
  <si>
    <t>vector P*--&gt; P</t>
  </si>
  <si>
    <t>P1*-P1</t>
  </si>
  <si>
    <t>P2*-P2</t>
  </si>
  <si>
    <t>P3*-P3</t>
  </si>
  <si>
    <t>P4*-P4</t>
  </si>
  <si>
    <t>P5*-P5</t>
  </si>
  <si>
    <t>length of vector</t>
  </si>
  <si>
    <t>τ</t>
  </si>
  <si>
    <t>P0 P1</t>
  </si>
  <si>
    <t>P1 P2</t>
  </si>
  <si>
    <t>Z</t>
  </si>
  <si>
    <t>calculate cartesian coordinates</t>
  </si>
  <si>
    <t>put z on origin</t>
  </si>
  <si>
    <t>create ideal octahedron</t>
  </si>
  <si>
    <t>vector from P* to P</t>
  </si>
  <si>
    <t>angle RAD</t>
  </si>
  <si>
    <t>angle degree</t>
  </si>
  <si>
    <t>P2 P3</t>
  </si>
  <si>
    <t>P3 P4</t>
  </si>
  <si>
    <t>P4 P5</t>
  </si>
  <si>
    <t>P5 P0</t>
  </si>
  <si>
    <r>
      <rPr>
        <sz val="11"/>
        <color theme="1"/>
        <rFont val="Calibri"/>
        <family val="2"/>
      </rPr>
      <t>β</t>
    </r>
    <r>
      <rPr>
        <sz val="11"/>
        <color theme="1"/>
        <rFont val="Calibri"/>
        <family val="2"/>
        <scheme val="minor"/>
      </rPr>
      <t>-angle</t>
    </r>
  </si>
  <si>
    <r>
      <rPr>
        <sz val="11"/>
        <color theme="1"/>
        <rFont val="Calibri"/>
        <family val="2"/>
      </rPr>
      <t>γ</t>
    </r>
    <r>
      <rPr>
        <sz val="11"/>
        <color theme="1"/>
        <rFont val="Calibri"/>
        <family val="2"/>
        <scheme val="minor"/>
      </rPr>
      <t>-angle</t>
    </r>
  </si>
  <si>
    <t>transformation matrix</t>
  </si>
  <si>
    <t>Central atom    Z</t>
  </si>
  <si>
    <t>coordinates of ideal octahedron</t>
  </si>
  <si>
    <t>Ligand 6             P6</t>
  </si>
  <si>
    <t>P6*</t>
  </si>
  <si>
    <t>P6</t>
  </si>
  <si>
    <t>Z-P6</t>
  </si>
  <si>
    <t>vector P6</t>
  </si>
  <si>
    <t>P6*-P6</t>
  </si>
  <si>
    <t>Ligand 7             P7</t>
  </si>
  <si>
    <t>Ligand 8             P8</t>
  </si>
  <si>
    <t>Ligand 9             P9</t>
  </si>
  <si>
    <t>Ligand 10           P10</t>
  </si>
  <si>
    <t>Ligand 11           P11</t>
  </si>
  <si>
    <t>Ligand 12           P12</t>
  </si>
  <si>
    <t>P7*</t>
  </si>
  <si>
    <t>P8*</t>
  </si>
  <si>
    <t>P9*</t>
  </si>
  <si>
    <t>P10*</t>
  </si>
  <si>
    <t>P12*</t>
  </si>
  <si>
    <t>P11*</t>
  </si>
  <si>
    <t>P7</t>
  </si>
  <si>
    <t>P8</t>
  </si>
  <si>
    <t>P9</t>
  </si>
  <si>
    <t>P10</t>
  </si>
  <si>
    <t>P11</t>
  </si>
  <si>
    <t>P12</t>
  </si>
  <si>
    <t>vector P7</t>
  </si>
  <si>
    <t>vector P8</t>
  </si>
  <si>
    <t>vector P9</t>
  </si>
  <si>
    <t>vector P10</t>
  </si>
  <si>
    <t>vector P11</t>
  </si>
  <si>
    <t>vector P12</t>
  </si>
  <si>
    <t>P6*-P7</t>
  </si>
  <si>
    <t>P6*-P8</t>
  </si>
  <si>
    <t>P6*-P9</t>
  </si>
  <si>
    <t>P6*-P10</t>
  </si>
  <si>
    <t>P6*-P11</t>
  </si>
  <si>
    <t>P6*-P12</t>
  </si>
  <si>
    <t>fill in your data into cells of this colour</t>
  </si>
  <si>
    <t>length of vector P6</t>
  </si>
  <si>
    <t>length of vector P7</t>
  </si>
  <si>
    <t>length of vector P8</t>
  </si>
  <si>
    <t>length of vector P9</t>
  </si>
  <si>
    <t>length of vector P10</t>
  </si>
  <si>
    <t>length of vector P11</t>
  </si>
  <si>
    <t>length of vector P12</t>
  </si>
  <si>
    <t>length of vector P6*</t>
  </si>
  <si>
    <t>length of vector P7*</t>
  </si>
  <si>
    <t>length of vector P8*</t>
  </si>
  <si>
    <t>length of vector P9*</t>
  </si>
  <si>
    <t>length of vector P10*</t>
  </si>
  <si>
    <t>length of vector P11*</t>
  </si>
  <si>
    <t>length of vector P12*</t>
  </si>
  <si>
    <t>P5 P6</t>
  </si>
  <si>
    <t>P6 P7</t>
  </si>
  <si>
    <t>P7 P8</t>
  </si>
  <si>
    <t>P8 P9</t>
  </si>
  <si>
    <t>P9 P10</t>
  </si>
  <si>
    <t>P10 P11</t>
  </si>
  <si>
    <t>P11P12</t>
  </si>
  <si>
    <t>P12 P1</t>
  </si>
  <si>
    <t>vectors with avg. length = 1</t>
  </si>
  <si>
    <t>P1* P2*</t>
  </si>
  <si>
    <t>P2* P3*</t>
  </si>
  <si>
    <t>P3* P4*</t>
  </si>
  <si>
    <t>P4* P5*</t>
  </si>
  <si>
    <t>rotation matrix for rotation around P1*</t>
  </si>
  <si>
    <t>rotation matrix for rotation around P5*</t>
  </si>
  <si>
    <t>rotation angle in °</t>
  </si>
  <si>
    <t>rotation matrix for rotation around P4*</t>
  </si>
  <si>
    <t>P1* P4*</t>
  </si>
  <si>
    <t>P2*P5*</t>
  </si>
  <si>
    <t>P8 P1</t>
  </si>
  <si>
    <t>P4 P1</t>
  </si>
  <si>
    <t>P7*-P7</t>
  </si>
  <si>
    <t>P8*-P8</t>
  </si>
  <si>
    <t>rotation matrix for 120° rotation around P1*</t>
  </si>
  <si>
    <t>vectors P2* to P4* rotate</t>
  </si>
  <si>
    <t>P4 P2</t>
  </si>
  <si>
    <t>create ideal tetrahedron</t>
  </si>
  <si>
    <t>create ideal hexahedron</t>
  </si>
  <si>
    <t>create ideal cuboctahedron</t>
  </si>
  <si>
    <t>vector through Z and middle of face</t>
  </si>
  <si>
    <t>vector N</t>
  </si>
  <si>
    <t>rotation matrix for rotation around N</t>
  </si>
  <si>
    <t>create ideal icosahedron</t>
  </si>
  <si>
    <t>angle between vectors</t>
  </si>
  <si>
    <t>angle of rotation around P1*</t>
  </si>
  <si>
    <t>create ideal trig. prism</t>
  </si>
  <si>
    <t>σ</t>
  </si>
  <si>
    <t>vector through Z and middle of triangle</t>
  </si>
  <si>
    <t>N</t>
  </si>
  <si>
    <t>in °</t>
  </si>
  <si>
    <t>rotation angle in rad</t>
  </si>
  <si>
    <t>P4**</t>
  </si>
  <si>
    <t>create vector P4**</t>
  </si>
  <si>
    <t>Install solver:</t>
  </si>
  <si>
    <t>Datei-Optionen-Add Ins-Los, Haken bei Solver, OK</t>
  </si>
  <si>
    <t>Solver erscheint dann im Reiter "Daten"</t>
  </si>
  <si>
    <t>Ligand 10          P10</t>
  </si>
  <si>
    <t>Ligand 11          P11</t>
  </si>
  <si>
    <t>Ligand 12          P12</t>
  </si>
  <si>
    <t>P9*-P9</t>
  </si>
  <si>
    <t>P10*-P10</t>
  </si>
  <si>
    <t>P11*-P11</t>
  </si>
  <si>
    <t>P12*-P12</t>
  </si>
  <si>
    <t>vectors P2* to P12* rotate</t>
  </si>
  <si>
    <t>centre of gravity</t>
  </si>
  <si>
    <t>Z*</t>
  </si>
  <si>
    <t>put Z* on origin</t>
  </si>
  <si>
    <t>turning angles of respective ideal cuboctahedron</t>
  </si>
  <si>
    <t>displacement of Z from centre of gravity</t>
  </si>
  <si>
    <t>vector Z</t>
  </si>
  <si>
    <t>length of vector Z</t>
  </si>
  <si>
    <t>%</t>
  </si>
  <si>
    <t>Z-Z*</t>
  </si>
  <si>
    <t>P1-Z*</t>
  </si>
  <si>
    <t>P2-Z*</t>
  </si>
  <si>
    <t>P3-Z*</t>
  </si>
  <si>
    <t>P4-Z*</t>
  </si>
  <si>
    <t>P5-Z*</t>
  </si>
  <si>
    <t>P6-Z*</t>
  </si>
  <si>
    <t>P7-Z*</t>
  </si>
  <si>
    <t>P8-Z*</t>
  </si>
  <si>
    <t>P9-Z*</t>
  </si>
  <si>
    <t>P10-Z*</t>
  </si>
  <si>
    <t>P11-Z*</t>
  </si>
  <si>
    <t>P12-Z*</t>
  </si>
  <si>
    <t>vector from P to P*</t>
  </si>
  <si>
    <t>ideal cuboctahedron Z*(000)</t>
  </si>
  <si>
    <t>ideal cuboctahedron Z*(xyz)</t>
  </si>
  <si>
    <t>ideal octahedron Z*(000)</t>
  </si>
  <si>
    <t>ideal octahedron Z*(xyz)</t>
  </si>
  <si>
    <t>ideal hexahedron Z*(000)</t>
  </si>
  <si>
    <t>ideal hexahedron Z*(xyz)</t>
  </si>
  <si>
    <t>Vector Z</t>
  </si>
  <si>
    <t>ideal tetrahedron Z*(000)</t>
  </si>
  <si>
    <t>ideal tetrahedron Z*(xyz)</t>
  </si>
  <si>
    <t>coordinates of ideal hexahedron</t>
  </si>
  <si>
    <t xml:space="preserve">PS: if one angle stays 0 rad (for example) then put in a starting value of 5 and start solver again. solver does not go below 0 for the angles but tries to get e.g. to -10° instead of 350° </t>
  </si>
  <si>
    <r>
      <t>angle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  <scheme val="minor"/>
      </rPr>
      <t>from p1*</t>
    </r>
  </si>
  <si>
    <r>
      <t>R(</t>
    </r>
    <r>
      <rPr>
        <sz val="11"/>
        <color theme="1"/>
        <rFont val="Calibri"/>
        <family val="2"/>
      </rPr>
      <t>τ)=</t>
    </r>
  </si>
  <si>
    <t>vectors P1* to P8* rotate</t>
  </si>
  <si>
    <t>coordinates of ideal tetrahedron</t>
  </si>
  <si>
    <t>coordinates of ideal dodecadeltahedron</t>
  </si>
  <si>
    <t>r=</t>
  </si>
  <si>
    <t>p=</t>
  </si>
  <si>
    <t>q=</t>
  </si>
  <si>
    <t>with r^3-3r^2-4r+8=</t>
  </si>
  <si>
    <t>angle O5-O1</t>
  </si>
  <si>
    <t>angle O1-O2</t>
  </si>
  <si>
    <t>deg</t>
  </si>
  <si>
    <t>angles and coordinates of ideal dodecadeltahedron</t>
  </si>
  <si>
    <r>
      <t>angle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  <scheme val="minor"/>
      </rPr>
      <t>from O1</t>
    </r>
  </si>
  <si>
    <t>vector N through Z and middle of O1-O2</t>
  </si>
  <si>
    <t>P5 P1</t>
  </si>
  <si>
    <t>P2 P6</t>
  </si>
  <si>
    <t>P3 P7</t>
  </si>
  <si>
    <t>P8 P4</t>
  </si>
  <si>
    <t>create dodecadeltahedron with lengths = 1</t>
  </si>
  <si>
    <t>lenght of vectors in ideal dodecadeltahedron</t>
  </si>
  <si>
    <t>P3,4,5,6*</t>
  </si>
  <si>
    <t>P1,2,7,8*</t>
  </si>
  <si>
    <t>(0, +-1, p)</t>
  </si>
  <si>
    <t>(+-r, 0, q)</t>
  </si>
  <si>
    <t>(0, +-r, -q)</t>
  </si>
  <si>
    <t>(+-1, 0, -p)</t>
  </si>
  <si>
    <t>with p=((3+2r-r^2)^1/2+(3-r^2)^1/2)/2</t>
  </si>
  <si>
    <t>with q=((3+2r-r^2)^1/2-(3-r^2)^1/2)/2</t>
  </si>
  <si>
    <t>and coordinates:</t>
  </si>
  <si>
    <t>create ideal dodecadeltahedron with actual ratio and average length of 1</t>
  </si>
  <si>
    <t>turning angle of respective ideal dodecadeltahedron</t>
  </si>
  <si>
    <t>turning angle of respective ideal hexahedron</t>
  </si>
  <si>
    <t>turning angle of respective ideal icosahedron</t>
  </si>
  <si>
    <t>ideal icosahedron Z*(000)</t>
  </si>
  <si>
    <t>ideal icosahedron Z*(xyz)</t>
  </si>
  <si>
    <t>inverse transformation matrix</t>
  </si>
  <si>
    <t>coordinates of real tetrahedron</t>
  </si>
  <si>
    <t>deviation given in % of average distance Pn to Z*</t>
  </si>
  <si>
    <t>deviation of each atom. if one is far off of the others after solving: check coordinates for typos</t>
  </si>
  <si>
    <t>turning angles of respective ideal tetrahedron</t>
  </si>
  <si>
    <t>coordinates of real hexahedron</t>
  </si>
  <si>
    <t>coordinates of real octahedron</t>
  </si>
  <si>
    <t>coordinates of ideal cuboctahedron</t>
  </si>
  <si>
    <t>ratio P1*:P3*</t>
  </si>
  <si>
    <t>ideal</t>
  </si>
  <si>
    <t>best fit</t>
  </si>
  <si>
    <t>coordinates of ideal icosahedron</t>
  </si>
  <si>
    <t>coordinates of real icosahedron</t>
  </si>
  <si>
    <t>coordinates of real dodecadeltahedron</t>
  </si>
  <si>
    <t>coordinates of ideal trigonal prism</t>
  </si>
  <si>
    <t>coordinates of real trigonal prism</t>
  </si>
  <si>
    <t>coordinates of ideal trigonal antiprism</t>
  </si>
  <si>
    <t>coordinates of real trigonal antiprism</t>
  </si>
  <si>
    <t>turning angle of respective ideal trigonal antiprism</t>
  </si>
  <si>
    <t>vector through Z* and middle of triangle</t>
  </si>
  <si>
    <t>coordinates of ideal hexagonal prism</t>
  </si>
  <si>
    <t>turning angle of respective ideal hexagonal prism</t>
  </si>
  <si>
    <t>Available polyhedra</t>
  </si>
  <si>
    <t>terahedron</t>
  </si>
  <si>
    <t>hexahedron</t>
  </si>
  <si>
    <t>octahedron</t>
  </si>
  <si>
    <t>icosahedron</t>
  </si>
  <si>
    <t>cuboctahedron</t>
  </si>
  <si>
    <t>dodecadeltahedron</t>
  </si>
  <si>
    <t>dodecadeltahedron2</t>
  </si>
  <si>
    <t>trigonal prism</t>
  </si>
  <si>
    <t>trigonal antiprism</t>
  </si>
  <si>
    <t>hexagonal prism</t>
  </si>
  <si>
    <t>ideality of prisms/anti-prisms: 2 parallel equilateral congruent polygons/2 parallel equilateral polygons with inversion centre. distance between polygons is a degree of freedom</t>
  </si>
  <si>
    <t>distorted: individual bondlengths for flat/elongated tetrahedron</t>
  </si>
  <si>
    <t>altering cells of this colour</t>
  </si>
  <si>
    <t>vector through Z and middle of square</t>
  </si>
  <si>
    <t>create vector P5**</t>
  </si>
  <si>
    <t>here</t>
  </si>
  <si>
    <t>long</t>
  </si>
  <si>
    <t>short</t>
  </si>
  <si>
    <r>
      <t>R(120</t>
    </r>
    <r>
      <rPr>
        <sz val="11"/>
        <color theme="1"/>
        <rFont val="Calibri"/>
        <family val="2"/>
      </rPr>
      <t>)=</t>
    </r>
  </si>
  <si>
    <t>avg. of lengths</t>
  </si>
  <si>
    <t>IMPORTANT: order and alignment of atoms have to match the picture</t>
  </si>
  <si>
    <t>ideal dodecadeltahedron Z*(000)</t>
  </si>
  <si>
    <t>ideal dodecadeltahedron Z*(xyz)</t>
  </si>
  <si>
    <t>turning angle of respective ideal trigonal prism</t>
  </si>
  <si>
    <t>ideal trig. prism Z*(000)</t>
  </si>
  <si>
    <t>ideal trig. prism Z*(xyz)</t>
  </si>
  <si>
    <t>create ideal trig. antiprism</t>
  </si>
  <si>
    <t>ideal trig. antiprism Z*000)</t>
  </si>
  <si>
    <t>ideal trig. antiprism Z*(xyz)</t>
  </si>
  <si>
    <t>coordinates of real tetragonal prism</t>
  </si>
  <si>
    <t>coordinates of ideal tetragonal prism</t>
  </si>
  <si>
    <t>turning angle of respective ideal tetragonal prism</t>
  </si>
  <si>
    <t>create ideal tetr. prism</t>
  </si>
  <si>
    <t>ideal tetr. prism Z*(000)</t>
  </si>
  <si>
    <t>ideal tetr. prism Z*(xyz)</t>
  </si>
  <si>
    <t>coordinates of real tetragonal antiprism</t>
  </si>
  <si>
    <t>coordinates of ideal tetragonal antiprism</t>
  </si>
  <si>
    <t>turning angle of respective ideal tetragonal antiprism</t>
  </si>
  <si>
    <t>create ideal tetr. antiprism</t>
  </si>
  <si>
    <t>ideal tetr. antiprism Z*(000)</t>
  </si>
  <si>
    <t>ideal tetr. antiprism Z*(xyz)</t>
  </si>
  <si>
    <t>create ideal hex. prism</t>
  </si>
  <si>
    <t>ideal hex. prism Z*(000)</t>
  </si>
  <si>
    <t>ideal hex. prism Z*(xyz)</t>
  </si>
  <si>
    <t>vectors P2* to P8* rotate</t>
  </si>
  <si>
    <t>vectors P2* to P6* rotate</t>
  </si>
  <si>
    <t>vectors P1* to P12* rotate</t>
  </si>
  <si>
    <t>How to use:</t>
  </si>
  <si>
    <t>fill in your unit cell parameters</t>
  </si>
  <si>
    <t>fill in your atomic parameters (of the polyhedron)</t>
  </si>
  <si>
    <t>1.</t>
  </si>
  <si>
    <t>2.</t>
  </si>
  <si>
    <t>3.</t>
  </si>
  <si>
    <t>open SOLVER and put in:</t>
  </si>
  <si>
    <t>target</t>
  </si>
  <si>
    <t>variables</t>
  </si>
  <si>
    <t>Min.</t>
  </si>
  <si>
    <t>click on "solve"</t>
  </si>
  <si>
    <t>4.</t>
  </si>
  <si>
    <t>result:</t>
  </si>
  <si>
    <t>average deviation of each atom in % of average distance Pn to Z*</t>
  </si>
  <si>
    <t>average deviation of each atom in pm</t>
  </si>
  <si>
    <t>deviation of central atom from centre of gravity of the ligand hull in % of average distance Pn to Z*</t>
  </si>
  <si>
    <t>deviation of central atom from centre of gravity of the ligand hull in pm</t>
  </si>
  <si>
    <t>the average deviation in % is a relative value and thus can be used to compare series of compounds/polyhedra containing different atoms</t>
  </si>
  <si>
    <r>
      <t>R(72</t>
    </r>
    <r>
      <rPr>
        <sz val="11"/>
        <color theme="1"/>
        <rFont val="Calibri"/>
        <family val="2"/>
      </rPr>
      <t>)=</t>
    </r>
  </si>
  <si>
    <r>
      <t>R(70,529</t>
    </r>
    <r>
      <rPr>
        <sz val="11"/>
        <color theme="1"/>
        <rFont val="Calibri"/>
        <family val="2"/>
      </rPr>
      <t>)=</t>
    </r>
  </si>
  <si>
    <r>
      <t>R(-70,529</t>
    </r>
    <r>
      <rPr>
        <sz val="11"/>
        <color theme="1"/>
        <rFont val="Calibri"/>
        <family val="2"/>
      </rPr>
      <t>)=</t>
    </r>
  </si>
  <si>
    <r>
      <t>R(90)</t>
    </r>
    <r>
      <rPr>
        <sz val="11"/>
        <color theme="1"/>
        <rFont val="Calibri"/>
        <family val="2"/>
      </rPr>
      <t>=</t>
    </r>
  </si>
  <si>
    <r>
      <t>R(180</t>
    </r>
    <r>
      <rPr>
        <sz val="11"/>
        <color theme="1"/>
        <rFont val="Calibri"/>
        <family val="2"/>
      </rPr>
      <t>)=</t>
    </r>
  </si>
  <si>
    <r>
      <t>R(90</t>
    </r>
    <r>
      <rPr>
        <sz val="11"/>
        <color theme="1"/>
        <rFont val="Calibri"/>
        <family val="2"/>
      </rPr>
      <t>)=</t>
    </r>
  </si>
  <si>
    <r>
      <t>R(45</t>
    </r>
    <r>
      <rPr>
        <sz val="11"/>
        <color theme="1"/>
        <rFont val="Calibri"/>
        <family val="2"/>
      </rPr>
      <t>)=</t>
    </r>
  </si>
  <si>
    <t>distance between 2 polygons</t>
  </si>
  <si>
    <t>ratio: P1-P4/P1-P2</t>
  </si>
  <si>
    <t>&gt;1 = elongated</t>
  </si>
  <si>
    <t>distance between 2 atoms within one polygon</t>
  </si>
  <si>
    <t>&lt;1 = flattened</t>
  </si>
  <si>
    <t>vector P1*-P2*</t>
  </si>
  <si>
    <t>vector P1*-P4*</t>
  </si>
  <si>
    <t>ideal elong. tet</t>
  </si>
  <si>
    <t>ideal flat. tet</t>
  </si>
  <si>
    <t>id. norm. elong</t>
  </si>
  <si>
    <t>id. norm. flat.</t>
  </si>
  <si>
    <t>vector P1*-P5*</t>
  </si>
  <si>
    <t>1 = cube</t>
  </si>
  <si>
    <t>P5**</t>
  </si>
  <si>
    <t>vector P1*-P7*</t>
  </si>
  <si>
    <t>1 = octahedron</t>
  </si>
  <si>
    <t>tetragonal prism</t>
  </si>
  <si>
    <t>tetragonal antiprism</t>
  </si>
  <si>
    <t>vector Q1</t>
  </si>
  <si>
    <t>vector Q2</t>
  </si>
  <si>
    <t>vector Q3</t>
  </si>
  <si>
    <t>vector Q4</t>
  </si>
  <si>
    <r>
      <t>R(N,90°)</t>
    </r>
    <r>
      <rPr>
        <sz val="11"/>
        <color theme="1"/>
        <rFont val="Calibri"/>
        <family val="2"/>
      </rPr>
      <t>=</t>
    </r>
  </si>
  <si>
    <t>ideal dodeca-</t>
  </si>
  <si>
    <t>deltahedron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</si>
</sst>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"/>
    <numFmt numFmtId="165" formatCode="0.000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8" tint="0.79998168889431442"/>
        <bgColor indexed="65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</cellStyleXfs>
  <cellXfs count="83">
    <xf numFmtId="0" fontId="0" fillId="0" borderId="0" xfId="0"/>
    <xf numFmtId="0" fontId="1" fillId="3" borderId="0" xfId="2"/>
    <xf numFmtId="0" fontId="0" fillId="0" borderId="0" xfId="0" applyBorder="1"/>
    <xf numFmtId="0" fontId="1" fillId="7" borderId="0" xfId="6"/>
    <xf numFmtId="0" fontId="0" fillId="0" borderId="0" xfId="0" applyAlignment="1">
      <alignment wrapText="1"/>
    </xf>
    <xf numFmtId="0" fontId="1" fillId="5" borderId="0" xfId="4"/>
    <xf numFmtId="0" fontId="0" fillId="0" borderId="0" xfId="0" applyAlignment="1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2" fillId="0" borderId="0" xfId="0" applyFont="1"/>
    <xf numFmtId="0" fontId="0" fillId="3" borderId="0" xfId="2" applyFont="1"/>
    <xf numFmtId="0" fontId="0" fillId="0" borderId="0" xfId="0" applyNumberFormat="1"/>
    <xf numFmtId="0" fontId="1" fillId="2" borderId="0" xfId="1"/>
    <xf numFmtId="0" fontId="1" fillId="6" borderId="0" xfId="5"/>
    <xf numFmtId="0" fontId="1" fillId="2" borderId="0" xfId="1" applyAlignment="1">
      <alignment horizontal="right"/>
    </xf>
    <xf numFmtId="0" fontId="1" fillId="2" borderId="0" xfId="1" applyAlignment="1">
      <alignment horizontal="right" vertical="center" wrapText="1"/>
    </xf>
    <xf numFmtId="0" fontId="0" fillId="2" borderId="0" xfId="1" applyFont="1" applyAlignment="1">
      <alignment horizontal="right" vertical="center" wrapText="1"/>
    </xf>
    <xf numFmtId="0" fontId="0" fillId="2" borderId="0" xfId="1" applyFont="1" applyAlignment="1">
      <alignment wrapText="1"/>
    </xf>
    <xf numFmtId="16" fontId="0" fillId="0" borderId="0" xfId="0" applyNumberFormat="1"/>
    <xf numFmtId="0" fontId="0" fillId="2" borderId="0" xfId="1" applyFont="1"/>
    <xf numFmtId="0" fontId="1" fillId="3" borderId="0" xfId="2" applyBorder="1"/>
    <xf numFmtId="0" fontId="0" fillId="0" borderId="1" xfId="0" applyBorder="1"/>
    <xf numFmtId="0" fontId="0" fillId="3" borderId="1" xfId="2" applyFont="1" applyBorder="1"/>
    <xf numFmtId="0" fontId="1" fillId="3" borderId="1" xfId="2" applyBorder="1"/>
    <xf numFmtId="0" fontId="1" fillId="2" borderId="1" xfId="1" applyBorder="1" applyAlignment="1">
      <alignment horizontal="right" vertical="center" wrapText="1"/>
    </xf>
    <xf numFmtId="0" fontId="0" fillId="2" borderId="1" xfId="1" applyFont="1" applyBorder="1" applyAlignment="1">
      <alignment horizontal="right" vertical="center" wrapText="1"/>
    </xf>
    <xf numFmtId="164" fontId="1" fillId="2" borderId="0" xfId="1" applyNumberFormat="1" applyBorder="1"/>
    <xf numFmtId="164" fontId="1" fillId="2" borderId="1" xfId="1" applyNumberFormat="1" applyBorder="1"/>
    <xf numFmtId="164" fontId="1" fillId="2" borderId="0" xfId="1" applyNumberFormat="1"/>
    <xf numFmtId="0" fontId="1" fillId="0" borderId="0" xfId="2" applyFill="1"/>
    <xf numFmtId="0" fontId="0" fillId="0" borderId="0" xfId="1" applyFont="1" applyFill="1"/>
    <xf numFmtId="0" fontId="1" fillId="0" borderId="0" xfId="6" applyFill="1"/>
    <xf numFmtId="0" fontId="0" fillId="0" borderId="0" xfId="0" applyFill="1"/>
    <xf numFmtId="0" fontId="1" fillId="3" borderId="0" xfId="2" applyNumberFormat="1"/>
    <xf numFmtId="0" fontId="0" fillId="3" borderId="0" xfId="2" applyFont="1" applyBorder="1"/>
    <xf numFmtId="164" fontId="0" fillId="0" borderId="0" xfId="0" applyNumberFormat="1"/>
    <xf numFmtId="0" fontId="0" fillId="0" borderId="0" xfId="1" applyFont="1" applyFill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" fillId="2" borderId="0" xfId="1" applyAlignment="1">
      <alignment horizontal="center"/>
    </xf>
    <xf numFmtId="0" fontId="1" fillId="2" borderId="0" xfId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" fillId="0" borderId="0" xfId="2" applyFill="1" applyAlignment="1">
      <alignment horizontal="center"/>
    </xf>
    <xf numFmtId="0" fontId="0" fillId="2" borderId="0" xfId="1" applyFont="1" applyAlignment="1">
      <alignment horizontal="right"/>
    </xf>
    <xf numFmtId="0" fontId="1" fillId="0" borderId="0" xfId="5" applyFill="1"/>
    <xf numFmtId="0" fontId="0" fillId="0" borderId="0" xfId="0" applyAlignment="1">
      <alignment horizontal="center"/>
    </xf>
    <xf numFmtId="0" fontId="1" fillId="2" borderId="0" xfId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6" borderId="0" xfId="5" applyFont="1"/>
    <xf numFmtId="165" fontId="0" fillId="0" borderId="0" xfId="0" applyNumberFormat="1" applyAlignment="1">
      <alignment horizontal="center"/>
    </xf>
    <xf numFmtId="0" fontId="0" fillId="0" borderId="0" xfId="0" applyAlignment="1"/>
    <xf numFmtId="0" fontId="0" fillId="0" borderId="0" xfId="0" applyAlignment="1"/>
    <xf numFmtId="0" fontId="0" fillId="0" borderId="0" xfId="0" applyAlignment="1">
      <alignment horizontal="center" wrapText="1"/>
    </xf>
    <xf numFmtId="0" fontId="0" fillId="0" borderId="0" xfId="0" applyAlignment="1"/>
    <xf numFmtId="0" fontId="0" fillId="0" borderId="0" xfId="0" applyAlignment="1"/>
    <xf numFmtId="0" fontId="0" fillId="0" borderId="0" xfId="0" applyAlignment="1"/>
    <xf numFmtId="0" fontId="0" fillId="0" borderId="0" xfId="0" applyAlignment="1"/>
    <xf numFmtId="0" fontId="0" fillId="0" borderId="0" xfId="0" applyAlignment="1">
      <alignment horizontal="center" wrapText="1"/>
    </xf>
    <xf numFmtId="0" fontId="1" fillId="3" borderId="0" xfId="2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2" borderId="0" xfId="1" applyFont="1" applyAlignment="1">
      <alignment horizontal="center" wrapText="1"/>
    </xf>
    <xf numFmtId="0" fontId="1" fillId="2" borderId="0" xfId="1" applyAlignment="1">
      <alignment horizontal="center" wrapText="1"/>
    </xf>
    <xf numFmtId="0" fontId="0" fillId="3" borderId="0" xfId="2" applyFont="1" applyAlignment="1">
      <alignment horizontal="center"/>
    </xf>
    <xf numFmtId="0" fontId="1" fillId="3" borderId="0" xfId="2" applyAlignment="1">
      <alignment horizontal="center"/>
    </xf>
    <xf numFmtId="0" fontId="1" fillId="7" borderId="0" xfId="6" applyBorder="1" applyAlignment="1">
      <alignment horizontal="center"/>
    </xf>
    <xf numFmtId="0" fontId="0" fillId="0" borderId="0" xfId="0" applyBorder="1" applyAlignment="1">
      <alignment horizontal="center"/>
    </xf>
    <xf numFmtId="0" fontId="0" fillId="5" borderId="0" xfId="4" applyFont="1" applyBorder="1" applyAlignment="1">
      <alignment horizontal="center"/>
    </xf>
    <xf numFmtId="0" fontId="1" fillId="5" borderId="0" xfId="4" applyBorder="1" applyAlignment="1">
      <alignment horizontal="center"/>
    </xf>
    <xf numFmtId="0" fontId="0" fillId="4" borderId="0" xfId="3" applyFont="1" applyAlignment="1">
      <alignment horizontal="center" wrapText="1"/>
    </xf>
    <xf numFmtId="0" fontId="1" fillId="4" borderId="0" xfId="3" applyAlignment="1">
      <alignment horizontal="center" wrapText="1"/>
    </xf>
    <xf numFmtId="0" fontId="0" fillId="2" borderId="0" xfId="1" applyFont="1" applyAlignment="1">
      <alignment horizontal="center"/>
    </xf>
    <xf numFmtId="0" fontId="1" fillId="0" borderId="0" xfId="2" applyFill="1" applyAlignment="1">
      <alignment horizontal="center"/>
    </xf>
    <xf numFmtId="0" fontId="0" fillId="0" borderId="0" xfId="1" applyFont="1" applyFill="1" applyAlignment="1">
      <alignment horizontal="center"/>
    </xf>
    <xf numFmtId="0" fontId="1" fillId="2" borderId="0" xfId="1" applyAlignment="1">
      <alignment horizontal="center"/>
    </xf>
    <xf numFmtId="0" fontId="0" fillId="0" borderId="0" xfId="0" applyAlignment="1">
      <alignment horizontal="right"/>
    </xf>
    <xf numFmtId="0" fontId="1" fillId="8" borderId="0" xfId="7" applyAlignment="1">
      <alignment horizontal="center" wrapText="1"/>
    </xf>
  </cellXfs>
  <cellStyles count="8">
    <cellStyle name="20 % - Akzent1" xfId="1" builtinId="30"/>
    <cellStyle name="20 % - Akzent5" xfId="7" builtinId="46"/>
    <cellStyle name="20 % - Akzent6" xfId="5" builtinId="50"/>
    <cellStyle name="40 % - Akzent1" xfId="2" builtinId="31"/>
    <cellStyle name="40 % - Akzent2" xfId="3" builtinId="35"/>
    <cellStyle name="40 % - Akzent4" xfId="4" builtinId="43"/>
    <cellStyle name="40 % - Akzent6" xfId="6" builtinId="51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8</xdr:row>
      <xdr:rowOff>152400</xdr:rowOff>
    </xdr:from>
    <xdr:to>
      <xdr:col>15</xdr:col>
      <xdr:colOff>200025</xdr:colOff>
      <xdr:row>17</xdr:row>
      <xdr:rowOff>133350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7625" y="1676400"/>
          <a:ext cx="5353050" cy="169545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26</xdr:row>
      <xdr:rowOff>95250</xdr:rowOff>
    </xdr:from>
    <xdr:to>
      <xdr:col>6</xdr:col>
      <xdr:colOff>885825</xdr:colOff>
      <xdr:row>26</xdr:row>
      <xdr:rowOff>95251</xdr:rowOff>
    </xdr:to>
    <xdr:cxnSp macro="">
      <xdr:nvCxnSpPr>
        <xdr:cNvPr id="3" name="Gerade Verbindung mit Pfeil 2"/>
        <xdr:cNvCxnSpPr/>
      </xdr:nvCxnSpPr>
      <xdr:spPr>
        <a:xfrm flipH="1" flipV="1">
          <a:off x="4972050" y="5048250"/>
          <a:ext cx="809625" cy="1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85725</xdr:colOff>
      <xdr:row>27</xdr:row>
      <xdr:rowOff>95250</xdr:rowOff>
    </xdr:from>
    <xdr:to>
      <xdr:col>6</xdr:col>
      <xdr:colOff>895350</xdr:colOff>
      <xdr:row>27</xdr:row>
      <xdr:rowOff>95251</xdr:rowOff>
    </xdr:to>
    <xdr:cxnSp macro="">
      <xdr:nvCxnSpPr>
        <xdr:cNvPr id="6" name="Gerade Verbindung mit Pfeil 5"/>
        <xdr:cNvCxnSpPr/>
      </xdr:nvCxnSpPr>
      <xdr:spPr>
        <a:xfrm flipH="1" flipV="1">
          <a:off x="4981575" y="5238750"/>
          <a:ext cx="809625" cy="1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76200</xdr:colOff>
      <xdr:row>30</xdr:row>
      <xdr:rowOff>95250</xdr:rowOff>
    </xdr:from>
    <xdr:to>
      <xdr:col>6</xdr:col>
      <xdr:colOff>885825</xdr:colOff>
      <xdr:row>30</xdr:row>
      <xdr:rowOff>95251</xdr:rowOff>
    </xdr:to>
    <xdr:cxnSp macro="">
      <xdr:nvCxnSpPr>
        <xdr:cNvPr id="7" name="Gerade Verbindung mit Pfeil 6"/>
        <xdr:cNvCxnSpPr/>
      </xdr:nvCxnSpPr>
      <xdr:spPr>
        <a:xfrm flipH="1" flipV="1">
          <a:off x="4972050" y="5048250"/>
          <a:ext cx="809625" cy="1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85725</xdr:colOff>
      <xdr:row>31</xdr:row>
      <xdr:rowOff>95250</xdr:rowOff>
    </xdr:from>
    <xdr:to>
      <xdr:col>6</xdr:col>
      <xdr:colOff>895350</xdr:colOff>
      <xdr:row>31</xdr:row>
      <xdr:rowOff>95251</xdr:rowOff>
    </xdr:to>
    <xdr:cxnSp macro="">
      <xdr:nvCxnSpPr>
        <xdr:cNvPr id="8" name="Gerade Verbindung mit Pfeil 7"/>
        <xdr:cNvCxnSpPr/>
      </xdr:nvCxnSpPr>
      <xdr:spPr>
        <a:xfrm flipH="1" flipV="1">
          <a:off x="4981575" y="5238750"/>
          <a:ext cx="809625" cy="1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25</xdr:row>
      <xdr:rowOff>57150</xdr:rowOff>
    </xdr:from>
    <xdr:to>
      <xdr:col>1</xdr:col>
      <xdr:colOff>438150</xdr:colOff>
      <xdr:row>35</xdr:row>
      <xdr:rowOff>152402</xdr:rowOff>
    </xdr:to>
    <xdr:cxnSp macro="">
      <xdr:nvCxnSpPr>
        <xdr:cNvPr id="7" name="Gerade Verbindung mit Pfeil 6"/>
        <xdr:cNvCxnSpPr/>
      </xdr:nvCxnSpPr>
      <xdr:spPr>
        <a:xfrm flipH="1" flipV="1">
          <a:off x="2200275" y="4819650"/>
          <a:ext cx="19050" cy="2000252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457200</xdr:colOff>
      <xdr:row>26</xdr:row>
      <xdr:rowOff>114300</xdr:rowOff>
    </xdr:from>
    <xdr:to>
      <xdr:col>8</xdr:col>
      <xdr:colOff>457202</xdr:colOff>
      <xdr:row>36</xdr:row>
      <xdr:rowOff>4</xdr:rowOff>
    </xdr:to>
    <xdr:cxnSp macro="">
      <xdr:nvCxnSpPr>
        <xdr:cNvPr id="9" name="Gerade Verbindung mit Pfeil 8"/>
        <xdr:cNvCxnSpPr/>
      </xdr:nvCxnSpPr>
      <xdr:spPr>
        <a:xfrm flipH="1" flipV="1">
          <a:off x="8639175" y="5067300"/>
          <a:ext cx="2" cy="1790704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76848</xdr:colOff>
      <xdr:row>0</xdr:row>
      <xdr:rowOff>0</xdr:rowOff>
    </xdr:from>
    <xdr:to>
      <xdr:col>11</xdr:col>
      <xdr:colOff>660408</xdr:colOff>
      <xdr:row>18</xdr:row>
      <xdr:rowOff>125901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823" y="0"/>
          <a:ext cx="3326760" cy="355490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466725</xdr:colOff>
      <xdr:row>29</xdr:row>
      <xdr:rowOff>28575</xdr:rowOff>
    </xdr:from>
    <xdr:to>
      <xdr:col>1</xdr:col>
      <xdr:colOff>466725</xdr:colOff>
      <xdr:row>39</xdr:row>
      <xdr:rowOff>152401</xdr:rowOff>
    </xdr:to>
    <xdr:cxnSp macro="">
      <xdr:nvCxnSpPr>
        <xdr:cNvPr id="4" name="Gerade Verbindung mit Pfeil 3"/>
        <xdr:cNvCxnSpPr/>
      </xdr:nvCxnSpPr>
      <xdr:spPr>
        <a:xfrm flipV="1">
          <a:off x="2247900" y="5743575"/>
          <a:ext cx="0" cy="504826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495300</xdr:colOff>
      <xdr:row>28</xdr:row>
      <xdr:rowOff>38100</xdr:rowOff>
    </xdr:from>
    <xdr:to>
      <xdr:col>8</xdr:col>
      <xdr:colOff>495302</xdr:colOff>
      <xdr:row>38</xdr:row>
      <xdr:rowOff>3</xdr:rowOff>
    </xdr:to>
    <xdr:cxnSp macro="">
      <xdr:nvCxnSpPr>
        <xdr:cNvPr id="5" name="Gerade Verbindung mit Pfeil 4"/>
        <xdr:cNvCxnSpPr/>
      </xdr:nvCxnSpPr>
      <xdr:spPr>
        <a:xfrm flipH="1" flipV="1">
          <a:off x="8677275" y="5181600"/>
          <a:ext cx="2" cy="342903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66674</xdr:colOff>
      <xdr:row>0</xdr:row>
      <xdr:rowOff>180975</xdr:rowOff>
    </xdr:from>
    <xdr:to>
      <xdr:col>11</xdr:col>
      <xdr:colOff>571263</xdr:colOff>
      <xdr:row>14</xdr:row>
      <xdr:rowOff>74484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8649" y="180975"/>
          <a:ext cx="3247789" cy="256050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466725</xdr:colOff>
      <xdr:row>29</xdr:row>
      <xdr:rowOff>28575</xdr:rowOff>
    </xdr:from>
    <xdr:to>
      <xdr:col>1</xdr:col>
      <xdr:colOff>466725</xdr:colOff>
      <xdr:row>39</xdr:row>
      <xdr:rowOff>152401</xdr:rowOff>
    </xdr:to>
    <xdr:cxnSp macro="">
      <xdr:nvCxnSpPr>
        <xdr:cNvPr id="2" name="Gerade Verbindung mit Pfeil 1"/>
        <xdr:cNvCxnSpPr/>
      </xdr:nvCxnSpPr>
      <xdr:spPr>
        <a:xfrm flipV="1">
          <a:off x="2247900" y="5553075"/>
          <a:ext cx="0" cy="504826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495300</xdr:colOff>
      <xdr:row>28</xdr:row>
      <xdr:rowOff>38100</xdr:rowOff>
    </xdr:from>
    <xdr:to>
      <xdr:col>8</xdr:col>
      <xdr:colOff>495302</xdr:colOff>
      <xdr:row>38</xdr:row>
      <xdr:rowOff>3</xdr:rowOff>
    </xdr:to>
    <xdr:cxnSp macro="">
      <xdr:nvCxnSpPr>
        <xdr:cNvPr id="3" name="Gerade Verbindung mit Pfeil 2"/>
        <xdr:cNvCxnSpPr/>
      </xdr:nvCxnSpPr>
      <xdr:spPr>
        <a:xfrm flipH="1" flipV="1">
          <a:off x="8677275" y="5372100"/>
          <a:ext cx="2" cy="342903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4925</xdr:colOff>
      <xdr:row>0</xdr:row>
      <xdr:rowOff>0</xdr:rowOff>
    </xdr:from>
    <xdr:to>
      <xdr:col>12</xdr:col>
      <xdr:colOff>4756</xdr:colOff>
      <xdr:row>14</xdr:row>
      <xdr:rowOff>13750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900" y="0"/>
          <a:ext cx="3657431" cy="26807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476250</xdr:colOff>
      <xdr:row>31</xdr:row>
      <xdr:rowOff>47625</xdr:rowOff>
    </xdr:from>
    <xdr:to>
      <xdr:col>8</xdr:col>
      <xdr:colOff>495302</xdr:colOff>
      <xdr:row>40</xdr:row>
      <xdr:rowOff>171454</xdr:rowOff>
    </xdr:to>
    <xdr:cxnSp macro="">
      <xdr:nvCxnSpPr>
        <xdr:cNvPr id="7" name="Gerade Verbindung mit Pfeil 6"/>
        <xdr:cNvCxnSpPr/>
      </xdr:nvCxnSpPr>
      <xdr:spPr>
        <a:xfrm flipH="1" flipV="1">
          <a:off x="8658225" y="5953125"/>
          <a:ext cx="19052" cy="1838329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28575</xdr:colOff>
      <xdr:row>0</xdr:row>
      <xdr:rowOff>0</xdr:rowOff>
    </xdr:from>
    <xdr:to>
      <xdr:col>11</xdr:col>
      <xdr:colOff>692144</xdr:colOff>
      <xdr:row>16</xdr:row>
      <xdr:rowOff>106840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0550" y="0"/>
          <a:ext cx="3406769" cy="3154840"/>
        </a:xfrm>
        <a:prstGeom prst="rect">
          <a:avLst/>
        </a:prstGeom>
      </xdr:spPr>
    </xdr:pic>
    <xdr:clientData/>
  </xdr:twoCellAnchor>
  <xdr:twoCellAnchor>
    <xdr:from>
      <xdr:col>1</xdr:col>
      <xdr:colOff>495300</xdr:colOff>
      <xdr:row>37</xdr:row>
      <xdr:rowOff>38100</xdr:rowOff>
    </xdr:from>
    <xdr:to>
      <xdr:col>1</xdr:col>
      <xdr:colOff>495300</xdr:colOff>
      <xdr:row>43</xdr:row>
      <xdr:rowOff>161926</xdr:rowOff>
    </xdr:to>
    <xdr:cxnSp macro="">
      <xdr:nvCxnSpPr>
        <xdr:cNvPr id="4" name="Gerade Verbindung mit Pfeil 3"/>
        <xdr:cNvCxnSpPr/>
      </xdr:nvCxnSpPr>
      <xdr:spPr>
        <a:xfrm flipV="1">
          <a:off x="2276475" y="7086600"/>
          <a:ext cx="0" cy="504826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21</xdr:row>
      <xdr:rowOff>28575</xdr:rowOff>
    </xdr:from>
    <xdr:to>
      <xdr:col>1</xdr:col>
      <xdr:colOff>476250</xdr:colOff>
      <xdr:row>23</xdr:row>
      <xdr:rowOff>152401</xdr:rowOff>
    </xdr:to>
    <xdr:cxnSp macro="">
      <xdr:nvCxnSpPr>
        <xdr:cNvPr id="5" name="Gerade Verbindung mit Pfeil 4"/>
        <xdr:cNvCxnSpPr/>
      </xdr:nvCxnSpPr>
      <xdr:spPr>
        <a:xfrm flipV="1">
          <a:off x="2257425" y="4029075"/>
          <a:ext cx="0" cy="504826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514350</xdr:colOff>
      <xdr:row>22</xdr:row>
      <xdr:rowOff>28575</xdr:rowOff>
    </xdr:from>
    <xdr:to>
      <xdr:col>8</xdr:col>
      <xdr:colOff>514352</xdr:colOff>
      <xdr:row>23</xdr:row>
      <xdr:rowOff>180978</xdr:rowOff>
    </xdr:to>
    <xdr:cxnSp macro="">
      <xdr:nvCxnSpPr>
        <xdr:cNvPr id="6" name="Gerade Verbindung mit Pfeil 5"/>
        <xdr:cNvCxnSpPr/>
      </xdr:nvCxnSpPr>
      <xdr:spPr>
        <a:xfrm flipH="1" flipV="1">
          <a:off x="8696325" y="4219575"/>
          <a:ext cx="2" cy="342903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66801</xdr:colOff>
      <xdr:row>0</xdr:row>
      <xdr:rowOff>0</xdr:rowOff>
    </xdr:from>
    <xdr:to>
      <xdr:col>11</xdr:col>
      <xdr:colOff>785012</xdr:colOff>
      <xdr:row>15</xdr:row>
      <xdr:rowOff>133350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8776" y="0"/>
          <a:ext cx="3461411" cy="2990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476250</xdr:colOff>
      <xdr:row>26</xdr:row>
      <xdr:rowOff>28575</xdr:rowOff>
    </xdr:from>
    <xdr:to>
      <xdr:col>8</xdr:col>
      <xdr:colOff>476252</xdr:colOff>
      <xdr:row>27</xdr:row>
      <xdr:rowOff>180978</xdr:rowOff>
    </xdr:to>
    <xdr:cxnSp macro="">
      <xdr:nvCxnSpPr>
        <xdr:cNvPr id="7" name="Gerade Verbindung mit Pfeil 6"/>
        <xdr:cNvCxnSpPr/>
      </xdr:nvCxnSpPr>
      <xdr:spPr>
        <a:xfrm flipH="1" flipV="1">
          <a:off x="8658225" y="4981575"/>
          <a:ext cx="2" cy="342903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466725</xdr:colOff>
      <xdr:row>29</xdr:row>
      <xdr:rowOff>19050</xdr:rowOff>
    </xdr:from>
    <xdr:to>
      <xdr:col>1</xdr:col>
      <xdr:colOff>466725</xdr:colOff>
      <xdr:row>31</xdr:row>
      <xdr:rowOff>142876</xdr:rowOff>
    </xdr:to>
    <xdr:cxnSp macro="">
      <xdr:nvCxnSpPr>
        <xdr:cNvPr id="9" name="Gerade Verbindung mit Pfeil 8"/>
        <xdr:cNvCxnSpPr/>
      </xdr:nvCxnSpPr>
      <xdr:spPr>
        <a:xfrm flipV="1">
          <a:off x="2247900" y="5543550"/>
          <a:ext cx="0" cy="504826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47165</xdr:colOff>
      <xdr:row>0</xdr:row>
      <xdr:rowOff>47625</xdr:rowOff>
    </xdr:from>
    <xdr:to>
      <xdr:col>11</xdr:col>
      <xdr:colOff>740810</xdr:colOff>
      <xdr:row>16</xdr:row>
      <xdr:rowOff>140309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9140" y="47625"/>
          <a:ext cx="3436845" cy="31406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485775</xdr:colOff>
      <xdr:row>25</xdr:row>
      <xdr:rowOff>9525</xdr:rowOff>
    </xdr:from>
    <xdr:to>
      <xdr:col>1</xdr:col>
      <xdr:colOff>485775</xdr:colOff>
      <xdr:row>27</xdr:row>
      <xdr:rowOff>133351</xdr:rowOff>
    </xdr:to>
    <xdr:cxnSp macro="">
      <xdr:nvCxnSpPr>
        <xdr:cNvPr id="7" name="Gerade Verbindung mit Pfeil 6"/>
        <xdr:cNvCxnSpPr/>
      </xdr:nvCxnSpPr>
      <xdr:spPr>
        <a:xfrm flipV="1">
          <a:off x="2266950" y="4772025"/>
          <a:ext cx="0" cy="504826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495300</xdr:colOff>
      <xdr:row>24</xdr:row>
      <xdr:rowOff>28575</xdr:rowOff>
    </xdr:from>
    <xdr:to>
      <xdr:col>8</xdr:col>
      <xdr:colOff>495302</xdr:colOff>
      <xdr:row>25</xdr:row>
      <xdr:rowOff>180978</xdr:rowOff>
    </xdr:to>
    <xdr:cxnSp macro="">
      <xdr:nvCxnSpPr>
        <xdr:cNvPr id="9" name="Gerade Verbindung mit Pfeil 8"/>
        <xdr:cNvCxnSpPr/>
      </xdr:nvCxnSpPr>
      <xdr:spPr>
        <a:xfrm flipH="1" flipV="1">
          <a:off x="8677275" y="4600575"/>
          <a:ext cx="2" cy="342903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38100</xdr:colOff>
      <xdr:row>0</xdr:row>
      <xdr:rowOff>0</xdr:rowOff>
    </xdr:from>
    <xdr:to>
      <xdr:col>11</xdr:col>
      <xdr:colOff>400551</xdr:colOff>
      <xdr:row>18</xdr:row>
      <xdr:rowOff>23176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0075" y="0"/>
          <a:ext cx="3105651" cy="34521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37</xdr:row>
      <xdr:rowOff>66675</xdr:rowOff>
    </xdr:from>
    <xdr:to>
      <xdr:col>1</xdr:col>
      <xdr:colOff>514350</xdr:colOff>
      <xdr:row>40</xdr:row>
      <xdr:rowOff>1</xdr:rowOff>
    </xdr:to>
    <xdr:cxnSp macro="">
      <xdr:nvCxnSpPr>
        <xdr:cNvPr id="8" name="Gerade Verbindung mit Pfeil 7"/>
        <xdr:cNvCxnSpPr/>
      </xdr:nvCxnSpPr>
      <xdr:spPr>
        <a:xfrm flipV="1">
          <a:off x="2295525" y="7115175"/>
          <a:ext cx="0" cy="504826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514350</xdr:colOff>
      <xdr:row>30</xdr:row>
      <xdr:rowOff>19050</xdr:rowOff>
    </xdr:from>
    <xdr:to>
      <xdr:col>8</xdr:col>
      <xdr:colOff>514352</xdr:colOff>
      <xdr:row>31</xdr:row>
      <xdr:rowOff>171453</xdr:rowOff>
    </xdr:to>
    <xdr:cxnSp macro="">
      <xdr:nvCxnSpPr>
        <xdr:cNvPr id="9" name="Gerade Verbindung mit Pfeil 8"/>
        <xdr:cNvCxnSpPr/>
      </xdr:nvCxnSpPr>
      <xdr:spPr>
        <a:xfrm flipH="1" flipV="1">
          <a:off x="8696325" y="5734050"/>
          <a:ext cx="2" cy="342903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855743</xdr:colOff>
      <xdr:row>0</xdr:row>
      <xdr:rowOff>0</xdr:rowOff>
    </xdr:from>
    <xdr:to>
      <xdr:col>11</xdr:col>
      <xdr:colOff>804923</xdr:colOff>
      <xdr:row>20</xdr:row>
      <xdr:rowOff>66675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3318" y="0"/>
          <a:ext cx="3606780" cy="38766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523875</xdr:colOff>
      <xdr:row>37</xdr:row>
      <xdr:rowOff>47625</xdr:rowOff>
    </xdr:from>
    <xdr:to>
      <xdr:col>1</xdr:col>
      <xdr:colOff>523875</xdr:colOff>
      <xdr:row>39</xdr:row>
      <xdr:rowOff>171451</xdr:rowOff>
    </xdr:to>
    <xdr:cxnSp macro="">
      <xdr:nvCxnSpPr>
        <xdr:cNvPr id="7" name="Gerade Verbindung mit Pfeil 6"/>
        <xdr:cNvCxnSpPr/>
      </xdr:nvCxnSpPr>
      <xdr:spPr>
        <a:xfrm flipV="1">
          <a:off x="2305050" y="7096125"/>
          <a:ext cx="0" cy="504826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485775</xdr:colOff>
      <xdr:row>30</xdr:row>
      <xdr:rowOff>28575</xdr:rowOff>
    </xdr:from>
    <xdr:to>
      <xdr:col>8</xdr:col>
      <xdr:colOff>485777</xdr:colOff>
      <xdr:row>31</xdr:row>
      <xdr:rowOff>180978</xdr:rowOff>
    </xdr:to>
    <xdr:cxnSp macro="">
      <xdr:nvCxnSpPr>
        <xdr:cNvPr id="9" name="Gerade Verbindung mit Pfeil 8"/>
        <xdr:cNvCxnSpPr/>
      </xdr:nvCxnSpPr>
      <xdr:spPr>
        <a:xfrm flipH="1" flipV="1">
          <a:off x="8667750" y="5743575"/>
          <a:ext cx="2" cy="342903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34382</xdr:colOff>
      <xdr:row>0</xdr:row>
      <xdr:rowOff>0</xdr:rowOff>
    </xdr:from>
    <xdr:to>
      <xdr:col>12</xdr:col>
      <xdr:colOff>641529</xdr:colOff>
      <xdr:row>19</xdr:row>
      <xdr:rowOff>140815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6357" y="0"/>
          <a:ext cx="4264747" cy="37603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466725</xdr:colOff>
      <xdr:row>29</xdr:row>
      <xdr:rowOff>47625</xdr:rowOff>
    </xdr:from>
    <xdr:to>
      <xdr:col>1</xdr:col>
      <xdr:colOff>466725</xdr:colOff>
      <xdr:row>31</xdr:row>
      <xdr:rowOff>171451</xdr:rowOff>
    </xdr:to>
    <xdr:cxnSp macro="">
      <xdr:nvCxnSpPr>
        <xdr:cNvPr id="7" name="Gerade Verbindung mit Pfeil 6"/>
        <xdr:cNvCxnSpPr/>
      </xdr:nvCxnSpPr>
      <xdr:spPr>
        <a:xfrm flipV="1">
          <a:off x="2247900" y="5572125"/>
          <a:ext cx="0" cy="504826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514350</xdr:colOff>
      <xdr:row>26</xdr:row>
      <xdr:rowOff>38100</xdr:rowOff>
    </xdr:from>
    <xdr:to>
      <xdr:col>8</xdr:col>
      <xdr:colOff>514352</xdr:colOff>
      <xdr:row>28</xdr:row>
      <xdr:rowOff>3</xdr:rowOff>
    </xdr:to>
    <xdr:cxnSp macro="">
      <xdr:nvCxnSpPr>
        <xdr:cNvPr id="8" name="Gerade Verbindung mit Pfeil 7"/>
        <xdr:cNvCxnSpPr/>
      </xdr:nvCxnSpPr>
      <xdr:spPr>
        <a:xfrm flipH="1" flipV="1">
          <a:off x="8696325" y="4991100"/>
          <a:ext cx="2" cy="342903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863189</xdr:colOff>
      <xdr:row>0</xdr:row>
      <xdr:rowOff>0</xdr:rowOff>
    </xdr:from>
    <xdr:to>
      <xdr:col>13</xdr:col>
      <xdr:colOff>25460</xdr:colOff>
      <xdr:row>20</xdr:row>
      <xdr:rowOff>68017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0764" y="0"/>
          <a:ext cx="4648671" cy="387801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504825</xdr:colOff>
      <xdr:row>29</xdr:row>
      <xdr:rowOff>28575</xdr:rowOff>
    </xdr:from>
    <xdr:to>
      <xdr:col>1</xdr:col>
      <xdr:colOff>504825</xdr:colOff>
      <xdr:row>31</xdr:row>
      <xdr:rowOff>152401</xdr:rowOff>
    </xdr:to>
    <xdr:cxnSp macro="">
      <xdr:nvCxnSpPr>
        <xdr:cNvPr id="7" name="Gerade Verbindung mit Pfeil 6"/>
        <xdr:cNvCxnSpPr/>
      </xdr:nvCxnSpPr>
      <xdr:spPr>
        <a:xfrm flipV="1">
          <a:off x="2286000" y="5743575"/>
          <a:ext cx="0" cy="504826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504825</xdr:colOff>
      <xdr:row>27</xdr:row>
      <xdr:rowOff>28575</xdr:rowOff>
    </xdr:from>
    <xdr:to>
      <xdr:col>8</xdr:col>
      <xdr:colOff>504827</xdr:colOff>
      <xdr:row>28</xdr:row>
      <xdr:rowOff>180978</xdr:rowOff>
    </xdr:to>
    <xdr:cxnSp macro="">
      <xdr:nvCxnSpPr>
        <xdr:cNvPr id="8" name="Gerade Verbindung mit Pfeil 7"/>
        <xdr:cNvCxnSpPr/>
      </xdr:nvCxnSpPr>
      <xdr:spPr>
        <a:xfrm flipH="1" flipV="1">
          <a:off x="8686800" y="5362575"/>
          <a:ext cx="2" cy="342903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866775</xdr:colOff>
      <xdr:row>0</xdr:row>
      <xdr:rowOff>0</xdr:rowOff>
    </xdr:from>
    <xdr:to>
      <xdr:col>13</xdr:col>
      <xdr:colOff>29046</xdr:colOff>
      <xdr:row>20</xdr:row>
      <xdr:rowOff>68017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4350" y="0"/>
          <a:ext cx="4648671" cy="3878017"/>
        </a:xfrm>
        <a:prstGeom prst="rect">
          <a:avLst/>
        </a:prstGeom>
      </xdr:spPr>
    </xdr:pic>
    <xdr:clientData/>
  </xdr:twoCellAnchor>
  <xdr:twoCellAnchor>
    <xdr:from>
      <xdr:col>9</xdr:col>
      <xdr:colOff>38100</xdr:colOff>
      <xdr:row>26</xdr:row>
      <xdr:rowOff>104775</xdr:rowOff>
    </xdr:from>
    <xdr:to>
      <xdr:col>10</xdr:col>
      <xdr:colOff>9525</xdr:colOff>
      <xdr:row>26</xdr:row>
      <xdr:rowOff>104776</xdr:rowOff>
    </xdr:to>
    <xdr:cxnSp macro="">
      <xdr:nvCxnSpPr>
        <xdr:cNvPr id="5" name="Gerade Verbindung mit Pfeil 4"/>
        <xdr:cNvCxnSpPr/>
      </xdr:nvCxnSpPr>
      <xdr:spPr>
        <a:xfrm flipV="1">
          <a:off x="9134475" y="5057775"/>
          <a:ext cx="885825" cy="1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495300</xdr:colOff>
      <xdr:row>25</xdr:row>
      <xdr:rowOff>104775</xdr:rowOff>
    </xdr:from>
    <xdr:to>
      <xdr:col>1</xdr:col>
      <xdr:colOff>495300</xdr:colOff>
      <xdr:row>35</xdr:row>
      <xdr:rowOff>161926</xdr:rowOff>
    </xdr:to>
    <xdr:cxnSp macro="">
      <xdr:nvCxnSpPr>
        <xdr:cNvPr id="7" name="Gerade Verbindung mit Pfeil 6"/>
        <xdr:cNvCxnSpPr/>
      </xdr:nvCxnSpPr>
      <xdr:spPr>
        <a:xfrm flipV="1">
          <a:off x="2276475" y="4867275"/>
          <a:ext cx="0" cy="1962151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476250</xdr:colOff>
      <xdr:row>26</xdr:row>
      <xdr:rowOff>142875</xdr:rowOff>
    </xdr:from>
    <xdr:to>
      <xdr:col>8</xdr:col>
      <xdr:colOff>495302</xdr:colOff>
      <xdr:row>36</xdr:row>
      <xdr:rowOff>4</xdr:rowOff>
    </xdr:to>
    <xdr:cxnSp macro="">
      <xdr:nvCxnSpPr>
        <xdr:cNvPr id="9" name="Gerade Verbindung mit Pfeil 8"/>
        <xdr:cNvCxnSpPr/>
      </xdr:nvCxnSpPr>
      <xdr:spPr>
        <a:xfrm flipH="1" flipV="1">
          <a:off x="8658225" y="5095875"/>
          <a:ext cx="19052" cy="1762129"/>
        </a:xfrm>
        <a:prstGeom prst="straightConnector1">
          <a:avLst/>
        </a:prstGeom>
        <a:ln w="222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154647</xdr:colOff>
      <xdr:row>0</xdr:row>
      <xdr:rowOff>0</xdr:rowOff>
    </xdr:from>
    <xdr:to>
      <xdr:col>11</xdr:col>
      <xdr:colOff>510528</xdr:colOff>
      <xdr:row>17</xdr:row>
      <xdr:rowOff>161924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6622" y="0"/>
          <a:ext cx="3099081" cy="34004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32"/>
  <sheetViews>
    <sheetView tabSelected="1" workbookViewId="0">
      <selection activeCell="D4" sqref="D4"/>
    </sheetView>
  </sheetViews>
  <sheetFormatPr baseColWidth="10" defaultRowHeight="15" x14ac:dyDescent="0.25"/>
  <cols>
    <col min="1" max="1" width="26.7109375" customWidth="1"/>
    <col min="2" max="2" width="2.42578125" customWidth="1"/>
    <col min="3" max="4" width="13.7109375" customWidth="1"/>
    <col min="5" max="5" width="3.140625" customWidth="1"/>
    <col min="6" max="13" width="13.7109375" customWidth="1"/>
  </cols>
  <sheetData>
    <row r="3" spans="1:11" x14ac:dyDescent="0.25">
      <c r="A3" t="s">
        <v>294</v>
      </c>
      <c r="H3" t="s">
        <v>192</v>
      </c>
      <c r="I3" s="6" t="s">
        <v>193</v>
      </c>
      <c r="J3" s="6"/>
    </row>
    <row r="4" spans="1:11" x14ac:dyDescent="0.25">
      <c r="A4" t="s">
        <v>295</v>
      </c>
      <c r="J4" s="61" t="s">
        <v>194</v>
      </c>
      <c r="K4" s="61"/>
    </row>
    <row r="5" spans="1:11" x14ac:dyDescent="0.25">
      <c r="A5" t="s">
        <v>296</v>
      </c>
      <c r="J5" s="61"/>
      <c r="K5" s="61"/>
    </row>
    <row r="6" spans="1:11" x14ac:dyDescent="0.25">
      <c r="A6" t="s">
        <v>297</v>
      </c>
    </row>
    <row r="7" spans="1:11" x14ac:dyDescent="0.25">
      <c r="A7" t="s">
        <v>298</v>
      </c>
    </row>
    <row r="8" spans="1:11" x14ac:dyDescent="0.25">
      <c r="A8" t="s">
        <v>299</v>
      </c>
    </row>
    <row r="9" spans="1:11" x14ac:dyDescent="0.25">
      <c r="A9" t="s">
        <v>300</v>
      </c>
      <c r="B9" s="63" t="s">
        <v>281</v>
      </c>
      <c r="C9" s="63"/>
      <c r="D9" s="42"/>
      <c r="E9" s="42"/>
      <c r="F9" s="42"/>
    </row>
    <row r="10" spans="1:11" x14ac:dyDescent="0.25">
      <c r="A10" t="s">
        <v>301</v>
      </c>
      <c r="B10" s="64" t="s">
        <v>306</v>
      </c>
      <c r="C10" s="64"/>
      <c r="D10" s="64"/>
      <c r="E10" s="64"/>
      <c r="F10" s="64"/>
      <c r="G10" s="64"/>
      <c r="I10" s="61" t="s">
        <v>21</v>
      </c>
    </row>
    <row r="11" spans="1:11" ht="15" customHeight="1" x14ac:dyDescent="0.25">
      <c r="A11" t="s">
        <v>302</v>
      </c>
      <c r="B11" s="66" t="s">
        <v>305</v>
      </c>
      <c r="C11" s="66"/>
      <c r="D11" s="66"/>
      <c r="E11" s="66"/>
      <c r="F11" s="66"/>
      <c r="G11" s="66"/>
      <c r="I11" s="61"/>
    </row>
    <row r="12" spans="1:11" x14ac:dyDescent="0.25">
      <c r="A12" t="s">
        <v>303</v>
      </c>
      <c r="B12" s="66"/>
      <c r="C12" s="66"/>
      <c r="D12" s="66"/>
      <c r="E12" s="66"/>
      <c r="F12" s="66"/>
      <c r="G12" s="66"/>
    </row>
    <row r="13" spans="1:11" x14ac:dyDescent="0.25">
      <c r="A13" t="s">
        <v>383</v>
      </c>
      <c r="B13" s="66"/>
      <c r="C13" s="66"/>
      <c r="D13" s="66"/>
      <c r="E13" s="66"/>
      <c r="F13" s="66"/>
      <c r="G13" s="66"/>
    </row>
    <row r="14" spans="1:11" x14ac:dyDescent="0.25">
      <c r="A14" t="s">
        <v>384</v>
      </c>
      <c r="B14" s="66"/>
      <c r="C14" s="66"/>
      <c r="D14" s="66"/>
      <c r="E14" s="66"/>
      <c r="F14" s="66"/>
      <c r="G14" s="66"/>
    </row>
    <row r="15" spans="1:11" ht="15" customHeight="1" x14ac:dyDescent="0.25">
      <c r="A15" t="s">
        <v>304</v>
      </c>
      <c r="B15" s="66"/>
      <c r="C15" s="66"/>
      <c r="D15" s="66"/>
      <c r="E15" s="66"/>
      <c r="F15" s="66"/>
      <c r="G15" s="66"/>
    </row>
    <row r="18" spans="1:14" x14ac:dyDescent="0.25">
      <c r="A18" t="s">
        <v>342</v>
      </c>
      <c r="B18" t="s">
        <v>345</v>
      </c>
      <c r="C18" s="62" t="s">
        <v>343</v>
      </c>
      <c r="D18" s="62"/>
      <c r="E18" s="62"/>
      <c r="F18" s="62"/>
    </row>
    <row r="19" spans="1:14" x14ac:dyDescent="0.25">
      <c r="B19" t="s">
        <v>346</v>
      </c>
      <c r="C19" s="62" t="s">
        <v>344</v>
      </c>
      <c r="D19" s="62"/>
      <c r="E19" s="62"/>
      <c r="F19" s="62"/>
    </row>
    <row r="20" spans="1:14" x14ac:dyDescent="0.25">
      <c r="B20" t="s">
        <v>347</v>
      </c>
      <c r="C20" s="65" t="s">
        <v>348</v>
      </c>
      <c r="D20" s="65"/>
      <c r="E20" t="s">
        <v>345</v>
      </c>
      <c r="F20" s="3" t="s">
        <v>349</v>
      </c>
    </row>
    <row r="21" spans="1:14" x14ac:dyDescent="0.25">
      <c r="E21" t="s">
        <v>346</v>
      </c>
      <c r="F21" t="s">
        <v>351</v>
      </c>
    </row>
    <row r="22" spans="1:14" x14ac:dyDescent="0.25">
      <c r="E22" t="s">
        <v>347</v>
      </c>
      <c r="F22" s="5" t="s">
        <v>350</v>
      </c>
    </row>
    <row r="23" spans="1:14" x14ac:dyDescent="0.25">
      <c r="B23" t="s">
        <v>353</v>
      </c>
      <c r="C23" t="s">
        <v>352</v>
      </c>
    </row>
    <row r="24" spans="1:14" ht="15" customHeight="1" x14ac:dyDescent="0.25">
      <c r="H24" s="61" t="s">
        <v>359</v>
      </c>
      <c r="I24" s="61"/>
      <c r="J24" s="61"/>
      <c r="K24" s="61"/>
      <c r="L24" s="61"/>
    </row>
    <row r="25" spans="1:14" x14ac:dyDescent="0.25">
      <c r="H25" s="61"/>
      <c r="I25" s="61"/>
      <c r="J25" s="61"/>
      <c r="K25" s="61"/>
      <c r="L25" s="61"/>
    </row>
    <row r="26" spans="1:14" ht="15" customHeight="1" x14ac:dyDescent="0.25">
      <c r="A26" t="s">
        <v>354</v>
      </c>
      <c r="B26" s="61" t="s">
        <v>18</v>
      </c>
      <c r="C26" s="61"/>
      <c r="D26" s="61"/>
      <c r="E26" s="61"/>
      <c r="F26" s="61"/>
    </row>
    <row r="27" spans="1:14" x14ac:dyDescent="0.25">
      <c r="B27" s="64" t="s">
        <v>20</v>
      </c>
      <c r="C27" s="64"/>
      <c r="D27" s="3">
        <v>3.5635765683999998</v>
      </c>
      <c r="E27" s="64" t="s">
        <v>210</v>
      </c>
      <c r="F27" s="64"/>
      <c r="H27" s="64" t="s">
        <v>355</v>
      </c>
      <c r="I27" s="64"/>
      <c r="J27" s="64"/>
      <c r="K27" s="64"/>
      <c r="L27" s="64"/>
    </row>
    <row r="28" spans="1:14" x14ac:dyDescent="0.25">
      <c r="B28" s="64" t="s">
        <v>23</v>
      </c>
      <c r="C28" s="64"/>
      <c r="D28">
        <v>4.2378564900000004</v>
      </c>
      <c r="E28" s="64" t="s">
        <v>24</v>
      </c>
      <c r="F28" s="64"/>
      <c r="H28" s="64" t="s">
        <v>356</v>
      </c>
      <c r="I28" s="64"/>
      <c r="J28" s="64"/>
      <c r="K28" s="64"/>
      <c r="L28" s="64"/>
    </row>
    <row r="30" spans="1:14" x14ac:dyDescent="0.25">
      <c r="B30" s="65" t="s">
        <v>207</v>
      </c>
      <c r="C30" s="65"/>
      <c r="D30" s="65"/>
      <c r="E30" s="65"/>
      <c r="F30" s="65"/>
    </row>
    <row r="31" spans="1:14" x14ac:dyDescent="0.25">
      <c r="B31" s="64" t="s">
        <v>20</v>
      </c>
      <c r="C31" s="64"/>
      <c r="D31">
        <v>1.2834712450000001</v>
      </c>
      <c r="E31" s="64" t="s">
        <v>210</v>
      </c>
      <c r="F31" s="64"/>
      <c r="H31" s="64" t="s">
        <v>357</v>
      </c>
      <c r="I31" s="64"/>
      <c r="J31" s="64"/>
      <c r="K31" s="64"/>
      <c r="L31" s="64"/>
      <c r="M31" s="64"/>
      <c r="N31" s="64"/>
    </row>
    <row r="32" spans="1:14" x14ac:dyDescent="0.25">
      <c r="B32" s="64" t="s">
        <v>23</v>
      </c>
      <c r="C32" s="64"/>
      <c r="D32">
        <v>1.526322457</v>
      </c>
      <c r="E32" s="64" t="s">
        <v>24</v>
      </c>
      <c r="F32" s="64"/>
      <c r="H32" s="64" t="s">
        <v>358</v>
      </c>
      <c r="I32" s="64"/>
      <c r="J32" s="64"/>
      <c r="K32" s="64"/>
      <c r="L32" s="64"/>
    </row>
  </sheetData>
  <mergeCells count="23">
    <mergeCell ref="H24:L25"/>
    <mergeCell ref="B10:G10"/>
    <mergeCell ref="B11:G15"/>
    <mergeCell ref="H27:L27"/>
    <mergeCell ref="H28:L28"/>
    <mergeCell ref="B26:F26"/>
    <mergeCell ref="C20:D20"/>
    <mergeCell ref="H32:L32"/>
    <mergeCell ref="H31:N31"/>
    <mergeCell ref="E27:F27"/>
    <mergeCell ref="E28:F28"/>
    <mergeCell ref="E31:F31"/>
    <mergeCell ref="E32:F32"/>
    <mergeCell ref="B30:F30"/>
    <mergeCell ref="B31:C31"/>
    <mergeCell ref="B32:C32"/>
    <mergeCell ref="B27:C27"/>
    <mergeCell ref="B28:C28"/>
    <mergeCell ref="J4:K5"/>
    <mergeCell ref="I10:I11"/>
    <mergeCell ref="C18:F18"/>
    <mergeCell ref="C19:F19"/>
    <mergeCell ref="B9:C9"/>
  </mergeCells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1"/>
  <sheetViews>
    <sheetView topLeftCell="A13" workbookViewId="0">
      <selection activeCell="C73" sqref="C73"/>
    </sheetView>
  </sheetViews>
  <sheetFormatPr baseColWidth="10" defaultRowHeight="15" x14ac:dyDescent="0.25"/>
  <cols>
    <col min="1" max="1" width="26.7109375" customWidth="1"/>
    <col min="2" max="12" width="13.7109375" customWidth="1"/>
    <col min="13" max="13" width="12" bestFit="1" customWidth="1"/>
  </cols>
  <sheetData>
    <row r="1" spans="1:11" ht="15" customHeight="1" x14ac:dyDescent="0.25"/>
    <row r="2" spans="1:11" ht="15" customHeight="1" x14ac:dyDescent="0.25">
      <c r="A2" s="29"/>
      <c r="B2" s="69" t="s">
        <v>134</v>
      </c>
      <c r="C2" s="70"/>
      <c r="D2" s="70"/>
    </row>
    <row r="3" spans="1:11" ht="15" customHeight="1" x14ac:dyDescent="0.25">
      <c r="A3" t="s">
        <v>1</v>
      </c>
      <c r="F3" s="75" t="s">
        <v>315</v>
      </c>
      <c r="G3" s="76"/>
    </row>
    <row r="4" spans="1:11" ht="15" customHeight="1" x14ac:dyDescent="0.25">
      <c r="A4" t="s">
        <v>2</v>
      </c>
      <c r="B4" s="1">
        <v>767</v>
      </c>
      <c r="C4" s="43" t="s">
        <v>51</v>
      </c>
      <c r="D4" s="1">
        <v>90</v>
      </c>
      <c r="F4" s="76"/>
      <c r="G4" s="76"/>
    </row>
    <row r="5" spans="1:11" ht="15" customHeight="1" x14ac:dyDescent="0.25">
      <c r="A5" t="s">
        <v>3</v>
      </c>
      <c r="B5" s="1">
        <v>1075</v>
      </c>
      <c r="C5" s="43" t="s">
        <v>52</v>
      </c>
      <c r="D5" s="1">
        <v>90</v>
      </c>
      <c r="F5" s="76"/>
      <c r="G5" s="76"/>
    </row>
    <row r="6" spans="1:11" ht="15" customHeight="1" x14ac:dyDescent="0.25">
      <c r="A6" t="s">
        <v>4</v>
      </c>
      <c r="B6" s="1">
        <v>753</v>
      </c>
      <c r="C6" s="43" t="s">
        <v>53</v>
      </c>
      <c r="D6" s="1">
        <v>90</v>
      </c>
    </row>
    <row r="7" spans="1:11" ht="15" customHeight="1" x14ac:dyDescent="0.25"/>
    <row r="8" spans="1:11" s="47" customFormat="1" ht="15" customHeight="1" x14ac:dyDescent="0.25">
      <c r="B8" s="65" t="s">
        <v>289</v>
      </c>
      <c r="C8" s="65"/>
      <c r="D8" s="65"/>
      <c r="E8" s="77" t="s">
        <v>288</v>
      </c>
      <c r="F8" s="80"/>
      <c r="G8" s="80"/>
      <c r="H8" s="80"/>
    </row>
    <row r="9" spans="1:11" ht="15" customHeight="1" x14ac:dyDescent="0.25">
      <c r="A9" t="s">
        <v>5</v>
      </c>
      <c r="B9" t="s">
        <v>6</v>
      </c>
      <c r="C9" t="s">
        <v>7</v>
      </c>
      <c r="D9" t="s">
        <v>8</v>
      </c>
      <c r="E9" s="12"/>
      <c r="F9" s="12" t="s">
        <v>6</v>
      </c>
      <c r="G9" s="12" t="s">
        <v>7</v>
      </c>
      <c r="H9" s="12" t="s">
        <v>8</v>
      </c>
    </row>
    <row r="10" spans="1:11" ht="15" customHeight="1" x14ac:dyDescent="0.25">
      <c r="A10" t="s">
        <v>96</v>
      </c>
      <c r="B10" s="1">
        <v>0</v>
      </c>
      <c r="C10" s="1">
        <v>0</v>
      </c>
      <c r="D10" s="1">
        <v>0.5</v>
      </c>
      <c r="E10" s="14" t="s">
        <v>82</v>
      </c>
      <c r="F10" s="12">
        <f t="shared" ref="F10:F16" si="0">C124*$G$48+D124*$H$48+E124*$I$48</f>
        <v>-3.0119763619853361E-17</v>
      </c>
      <c r="G10" s="12">
        <f t="shared" ref="G10:G16" si="1">C124*$G$49+D124*$H$49+E124*$I$49</f>
        <v>-2.1490101112955841E-17</v>
      </c>
      <c r="H10" s="12">
        <f t="shared" ref="H10:H16" si="2">C124*$G$50+D124*$H$50+E124*$I$50</f>
        <v>0.50083333333333324</v>
      </c>
    </row>
    <row r="11" spans="1:11" ht="15" customHeight="1" x14ac:dyDescent="0.25">
      <c r="A11" t="s">
        <v>9</v>
      </c>
      <c r="B11" s="1">
        <v>-0.20399999999999999</v>
      </c>
      <c r="C11" s="1">
        <v>3.9E-2</v>
      </c>
      <c r="D11" s="1">
        <v>0.79600000000000004</v>
      </c>
      <c r="E11" s="15" t="s">
        <v>58</v>
      </c>
      <c r="F11" s="28">
        <f t="shared" si="0"/>
        <v>-0.2042488017875001</v>
      </c>
      <c r="G11" s="28">
        <f t="shared" si="1"/>
        <v>3.8972973778999533E-2</v>
      </c>
      <c r="H11" s="28">
        <f t="shared" si="2"/>
        <v>0.79681581125232392</v>
      </c>
      <c r="K11" s="4"/>
    </row>
    <row r="12" spans="1:11" ht="15" customHeight="1" x14ac:dyDescent="0.25">
      <c r="A12" t="s">
        <v>10</v>
      </c>
      <c r="B12" s="1">
        <v>-0.02</v>
      </c>
      <c r="C12" s="1">
        <v>0.25</v>
      </c>
      <c r="D12" s="1">
        <v>0.43</v>
      </c>
      <c r="E12" s="15" t="s">
        <v>59</v>
      </c>
      <c r="F12" s="28">
        <f t="shared" si="0"/>
        <v>-1.992439436588115E-2</v>
      </c>
      <c r="G12" s="28">
        <f t="shared" si="1"/>
        <v>0.2506649932265208</v>
      </c>
      <c r="H12" s="28">
        <f t="shared" si="2"/>
        <v>0.42658775219104761</v>
      </c>
      <c r="K12" s="4"/>
    </row>
    <row r="13" spans="1:11" ht="15" customHeight="1" x14ac:dyDescent="0.25">
      <c r="A13" t="s">
        <v>11</v>
      </c>
      <c r="B13" s="22">
        <v>-0.29499999999999998</v>
      </c>
      <c r="C13" s="23">
        <v>-3.9E-2</v>
      </c>
      <c r="D13" s="23">
        <v>0.29599999999999999</v>
      </c>
      <c r="E13" s="24" t="s">
        <v>60</v>
      </c>
      <c r="F13" s="27">
        <f t="shared" si="0"/>
        <v>-0.29867807386710288</v>
      </c>
      <c r="G13" s="27">
        <f t="shared" si="1"/>
        <v>-3.6458941517216355E-2</v>
      </c>
      <c r="H13" s="27">
        <f t="shared" si="2"/>
        <v>0.30406249999814167</v>
      </c>
    </row>
    <row r="14" spans="1:11" ht="15" customHeight="1" x14ac:dyDescent="0.25">
      <c r="A14" t="s">
        <v>12</v>
      </c>
      <c r="B14" s="1">
        <v>0.20399999999999999</v>
      </c>
      <c r="C14" s="1">
        <v>-3.9E-2</v>
      </c>
      <c r="D14" s="1">
        <v>0.20399999999999999</v>
      </c>
      <c r="E14" s="15" t="s">
        <v>61</v>
      </c>
      <c r="F14" s="28">
        <f t="shared" si="0"/>
        <v>0.20424880178750016</v>
      </c>
      <c r="G14" s="28">
        <f t="shared" si="1"/>
        <v>-3.8972973778999616E-2</v>
      </c>
      <c r="H14" s="28">
        <f t="shared" si="2"/>
        <v>0.20485085541434281</v>
      </c>
    </row>
    <row r="15" spans="1:11" ht="15" customHeight="1" x14ac:dyDescent="0.25">
      <c r="A15" t="s">
        <v>13</v>
      </c>
      <c r="B15" s="1">
        <v>0.02</v>
      </c>
      <c r="C15" s="1">
        <v>-0.25</v>
      </c>
      <c r="D15" s="1">
        <v>0.57499999999999996</v>
      </c>
      <c r="E15" s="15" t="s">
        <v>62</v>
      </c>
      <c r="F15" s="28">
        <f t="shared" si="0"/>
        <v>1.992439436588124E-2</v>
      </c>
      <c r="G15" s="28">
        <f t="shared" si="1"/>
        <v>-0.2506649932265208</v>
      </c>
      <c r="H15" s="28">
        <f t="shared" si="2"/>
        <v>0.57507891447561887</v>
      </c>
    </row>
    <row r="16" spans="1:11" ht="15" customHeight="1" x14ac:dyDescent="0.25">
      <c r="A16" t="s">
        <v>98</v>
      </c>
      <c r="B16" s="1">
        <v>0.29499999999999998</v>
      </c>
      <c r="C16" s="1">
        <v>3.9E-2</v>
      </c>
      <c r="D16" s="1">
        <v>0.70399999999999996</v>
      </c>
      <c r="E16" s="16" t="s">
        <v>99</v>
      </c>
      <c r="F16" s="28">
        <f t="shared" si="0"/>
        <v>0.26844326572681249</v>
      </c>
      <c r="G16" s="28">
        <f t="shared" si="1"/>
        <v>3.6458941517216209E-2</v>
      </c>
      <c r="H16" s="28">
        <f t="shared" si="2"/>
        <v>0.69760416666852487</v>
      </c>
    </row>
    <row r="17" spans="1:12" ht="15" customHeight="1" x14ac:dyDescent="0.25">
      <c r="G17" s="2"/>
    </row>
    <row r="18" spans="1:12" ht="15" customHeight="1" x14ac:dyDescent="0.25"/>
    <row r="19" spans="1:12" ht="15" customHeight="1" x14ac:dyDescent="0.25">
      <c r="A19" t="s">
        <v>57</v>
      </c>
      <c r="B19" t="s">
        <v>17</v>
      </c>
      <c r="D19" s="61" t="s">
        <v>18</v>
      </c>
      <c r="E19" s="61"/>
      <c r="F19" s="61"/>
    </row>
    <row r="20" spans="1:12" ht="15" customHeight="1" x14ac:dyDescent="0.25">
      <c r="A20" t="s">
        <v>19</v>
      </c>
      <c r="B20" s="13">
        <f t="shared" ref="B20:B25" si="3">H109*100</f>
        <v>0.23361957165516253</v>
      </c>
      <c r="C20" t="s">
        <v>210</v>
      </c>
      <c r="D20" t="s">
        <v>20</v>
      </c>
      <c r="E20" s="3">
        <f>(AVERAGE(B20:B25))</f>
        <v>1.9977982292586933</v>
      </c>
      <c r="F20" t="s">
        <v>210</v>
      </c>
      <c r="H20" s="61" t="s">
        <v>290</v>
      </c>
      <c r="I20" s="61"/>
      <c r="J20" s="61"/>
    </row>
    <row r="21" spans="1:12" ht="15" customHeight="1" x14ac:dyDescent="0.25">
      <c r="A21" t="s">
        <v>22</v>
      </c>
      <c r="B21" s="13">
        <f t="shared" si="3"/>
        <v>0.96784487990601709</v>
      </c>
      <c r="C21" t="s">
        <v>210</v>
      </c>
      <c r="D21" t="s">
        <v>23</v>
      </c>
      <c r="E21">
        <f>E20*K55/100</f>
        <v>5.5064784156995463</v>
      </c>
      <c r="F21" t="s">
        <v>24</v>
      </c>
      <c r="H21" s="61"/>
      <c r="I21" s="61"/>
      <c r="J21" s="61"/>
    </row>
    <row r="22" spans="1:12" ht="15" customHeight="1" x14ac:dyDescent="0.25">
      <c r="A22" t="s">
        <v>25</v>
      </c>
      <c r="B22" s="13">
        <f t="shared" si="3"/>
        <v>2.6232386288003138</v>
      </c>
      <c r="C22" t="s">
        <v>210</v>
      </c>
      <c r="H22" t="s">
        <v>56</v>
      </c>
      <c r="I22" s="4" t="s">
        <v>29</v>
      </c>
      <c r="J22" s="4" t="s">
        <v>30</v>
      </c>
    </row>
    <row r="23" spans="1:12" ht="15" customHeight="1" x14ac:dyDescent="0.25">
      <c r="A23" t="s">
        <v>26</v>
      </c>
      <c r="B23" s="13">
        <f t="shared" si="3"/>
        <v>0.24277012561333189</v>
      </c>
      <c r="C23" t="s">
        <v>210</v>
      </c>
      <c r="D23" s="65" t="s">
        <v>207</v>
      </c>
      <c r="E23" s="65"/>
      <c r="F23" s="65"/>
      <c r="H23" s="9" t="s">
        <v>54</v>
      </c>
      <c r="I23" s="5">
        <v>0.62901203704473596</v>
      </c>
      <c r="J23">
        <f>DEGREES(I23)</f>
        <v>36.039734985589959</v>
      </c>
    </row>
    <row r="24" spans="1:12" ht="15" customHeight="1" x14ac:dyDescent="0.25">
      <c r="A24" t="s">
        <v>28</v>
      </c>
      <c r="B24" s="13">
        <f t="shared" si="3"/>
        <v>0.26110373495581196</v>
      </c>
      <c r="C24" t="s">
        <v>210</v>
      </c>
      <c r="D24" t="s">
        <v>20</v>
      </c>
      <c r="E24">
        <f>E25/K55*100</f>
        <v>0.22766245397160337</v>
      </c>
      <c r="F24" t="s">
        <v>210</v>
      </c>
      <c r="H24" s="9" t="s">
        <v>55</v>
      </c>
      <c r="I24" s="5">
        <v>2.8802737167875616</v>
      </c>
      <c r="J24">
        <f>DEGREES(I24)</f>
        <v>165.02752781438625</v>
      </c>
    </row>
    <row r="25" spans="1:12" ht="15" customHeight="1" x14ac:dyDescent="0.25">
      <c r="A25" t="s">
        <v>100</v>
      </c>
      <c r="B25" s="13">
        <f t="shared" si="3"/>
        <v>7.6582124346215226</v>
      </c>
      <c r="C25" t="s">
        <v>210</v>
      </c>
      <c r="D25" t="s">
        <v>23</v>
      </c>
      <c r="E25">
        <f>H54</f>
        <v>0.62749999999999773</v>
      </c>
      <c r="F25" t="s">
        <v>24</v>
      </c>
      <c r="H25" s="9" t="s">
        <v>79</v>
      </c>
      <c r="I25" s="5">
        <v>5.8655732138606576</v>
      </c>
      <c r="J25">
        <f>DEGREES(I25)</f>
        <v>336.07258957920192</v>
      </c>
    </row>
    <row r="26" spans="1:12" ht="15" customHeight="1" x14ac:dyDescent="0.25">
      <c r="H26" s="9" t="s">
        <v>185</v>
      </c>
      <c r="I26" s="5">
        <v>5.029542725089283</v>
      </c>
      <c r="J26">
        <f>DEGREES(I26)</f>
        <v>288.17157102834278</v>
      </c>
    </row>
    <row r="27" spans="1:12" ht="15" customHeight="1" x14ac:dyDescent="0.25">
      <c r="D27" s="65" t="s">
        <v>367</v>
      </c>
      <c r="E27" s="65"/>
      <c r="F27" s="65"/>
    </row>
    <row r="28" spans="1:12" ht="15" customHeight="1" x14ac:dyDescent="0.25">
      <c r="D28" t="s">
        <v>20</v>
      </c>
      <c r="E28">
        <f>E29/K55*100</f>
        <v>117.31466031565571</v>
      </c>
      <c r="F28" t="s">
        <v>210</v>
      </c>
      <c r="G28" s="65" t="s">
        <v>368</v>
      </c>
      <c r="H28" s="65"/>
    </row>
    <row r="29" spans="1:12" ht="15" customHeight="1" x14ac:dyDescent="0.25">
      <c r="D29" t="s">
        <v>23</v>
      </c>
      <c r="E29">
        <f>K118</f>
        <v>323.35129514705034</v>
      </c>
      <c r="F29" t="s">
        <v>24</v>
      </c>
      <c r="G29">
        <f>E28/E32</f>
        <v>0.83630044824895056</v>
      </c>
    </row>
    <row r="30" spans="1:12" ht="15" customHeight="1" x14ac:dyDescent="0.25">
      <c r="H30" t="s">
        <v>369</v>
      </c>
    </row>
    <row r="31" spans="1:12" ht="15" customHeight="1" x14ac:dyDescent="0.25">
      <c r="D31" s="65" t="s">
        <v>370</v>
      </c>
      <c r="E31" s="65"/>
      <c r="F31" s="65"/>
      <c r="H31" t="s">
        <v>371</v>
      </c>
    </row>
    <row r="32" spans="1:12" ht="15" customHeight="1" x14ac:dyDescent="0.25">
      <c r="D32" t="s">
        <v>20</v>
      </c>
      <c r="E32">
        <f>E33/K55*100</f>
        <v>140.27812679197967</v>
      </c>
      <c r="F32" t="s">
        <v>210</v>
      </c>
      <c r="H32" t="s">
        <v>382</v>
      </c>
      <c r="K32" s="4"/>
      <c r="L32" s="4"/>
    </row>
    <row r="33" spans="1:13" ht="15" customHeight="1" x14ac:dyDescent="0.25">
      <c r="D33" t="s">
        <v>23</v>
      </c>
      <c r="E33">
        <f>K117</f>
        <v>386.64489039086936</v>
      </c>
      <c r="F33" t="s">
        <v>24</v>
      </c>
      <c r="K33" s="4"/>
      <c r="L33" s="4"/>
    </row>
    <row r="34" spans="1:13" ht="15" customHeight="1" x14ac:dyDescent="0.25">
      <c r="H34" s="4"/>
      <c r="I34" s="4"/>
      <c r="J34" s="4"/>
      <c r="K34" s="4"/>
      <c r="L34" s="4"/>
    </row>
    <row r="35" spans="1:13" ht="15" customHeight="1" x14ac:dyDescent="0.25">
      <c r="E35" s="61" t="s">
        <v>274</v>
      </c>
      <c r="F35" s="61"/>
      <c r="K35" s="4"/>
      <c r="L35" s="4"/>
    </row>
    <row r="36" spans="1:13" ht="15" customHeight="1" x14ac:dyDescent="0.25">
      <c r="A36" s="32"/>
      <c r="B36" s="46"/>
      <c r="E36" s="61"/>
      <c r="F36" s="61"/>
      <c r="K36" s="4"/>
      <c r="L36" s="4"/>
    </row>
    <row r="37" spans="1:13" ht="15" customHeight="1" x14ac:dyDescent="0.25">
      <c r="A37" s="61" t="s">
        <v>275</v>
      </c>
      <c r="B37" s="61"/>
      <c r="C37" s="61"/>
      <c r="H37" s="61" t="s">
        <v>235</v>
      </c>
      <c r="I37" s="61"/>
      <c r="J37" s="61"/>
      <c r="K37" s="4"/>
      <c r="L37" s="4"/>
    </row>
    <row r="38" spans="1:13" ht="15" customHeight="1" x14ac:dyDescent="0.25">
      <c r="A38" s="61"/>
      <c r="B38" s="61"/>
      <c r="C38" s="61"/>
      <c r="D38" s="2" t="s">
        <v>14</v>
      </c>
      <c r="E38" s="71" t="s">
        <v>15</v>
      </c>
      <c r="F38" s="71"/>
      <c r="H38" s="61"/>
      <c r="I38" s="61"/>
      <c r="J38" s="61"/>
      <c r="K38" s="4"/>
      <c r="L38" s="4"/>
    </row>
    <row r="39" spans="1:13" ht="15" customHeight="1" x14ac:dyDescent="0.25">
      <c r="D39" s="2"/>
      <c r="E39" s="72" t="s">
        <v>16</v>
      </c>
      <c r="F39" s="72"/>
      <c r="H39" s="61"/>
      <c r="I39" s="61"/>
      <c r="J39" s="61"/>
      <c r="K39" s="4"/>
      <c r="L39" s="4"/>
    </row>
    <row r="40" spans="1:13" ht="15" customHeight="1" x14ac:dyDescent="0.25">
      <c r="D40" s="2"/>
      <c r="E40" s="73" t="s">
        <v>307</v>
      </c>
      <c r="F40" s="74"/>
      <c r="H40" s="61"/>
      <c r="I40" s="61"/>
      <c r="J40" s="61"/>
      <c r="K40" s="4"/>
      <c r="L40" s="4"/>
    </row>
    <row r="41" spans="1:13" ht="15" customHeight="1" x14ac:dyDescent="0.25">
      <c r="H41" s="61"/>
      <c r="I41" s="61"/>
      <c r="J41" s="61"/>
    </row>
    <row r="42" spans="1:13" ht="15" customHeight="1" x14ac:dyDescent="0.25"/>
    <row r="43" spans="1:13" ht="15" customHeight="1" x14ac:dyDescent="0.25">
      <c r="A43" s="68" t="s">
        <v>83</v>
      </c>
      <c r="B43" s="7"/>
      <c r="C43" s="8" t="s">
        <v>31</v>
      </c>
      <c r="D43" s="8" t="s">
        <v>32</v>
      </c>
      <c r="E43" s="8" t="s">
        <v>33</v>
      </c>
      <c r="F43" s="8"/>
      <c r="G43" s="61" t="s">
        <v>95</v>
      </c>
      <c r="H43" s="61"/>
    </row>
    <row r="44" spans="1:13" ht="15" customHeight="1" x14ac:dyDescent="0.25">
      <c r="A44" s="68"/>
      <c r="B44" t="s">
        <v>82</v>
      </c>
      <c r="C44">
        <f t="shared" ref="C44:C50" si="4">B10*$G$44+C10*$H$44+D10*$I$44</f>
        <v>2.3063419663654772E-14</v>
      </c>
      <c r="D44">
        <f t="shared" ref="D44:D50" si="5">B10*$G$45+C10*$H$45+D10*$I$45</f>
        <v>2.3063419663654772E-14</v>
      </c>
      <c r="E44">
        <f t="shared" ref="E44:E50" si="6">B10*$G$46+C10*$H$46+D10*$I$46</f>
        <v>376.5</v>
      </c>
      <c r="G44">
        <f>B4</f>
        <v>767</v>
      </c>
      <c r="H44">
        <f>B5*(COS(M46))</f>
        <v>6.5851729451338326E-14</v>
      </c>
      <c r="I44">
        <f>B6*(COS(M45))</f>
        <v>4.6126839327309543E-14</v>
      </c>
      <c r="K44" t="s">
        <v>51</v>
      </c>
      <c r="L44">
        <f>D4</f>
        <v>90</v>
      </c>
      <c r="M44">
        <f>RADIANS(L44)</f>
        <v>1.5707963267948966</v>
      </c>
    </row>
    <row r="45" spans="1:13" ht="15" customHeight="1" x14ac:dyDescent="0.25">
      <c r="B45" t="str">
        <f t="shared" ref="B45:B50" si="7">A20</f>
        <v>P1</v>
      </c>
      <c r="C45">
        <f t="shared" si="4"/>
        <v>-156.46799999999996</v>
      </c>
      <c r="D45">
        <f t="shared" si="5"/>
        <v>41.925000000000033</v>
      </c>
      <c r="E45">
        <f t="shared" si="6"/>
        <v>599.38800000000003</v>
      </c>
      <c r="G45">
        <f>0</f>
        <v>0</v>
      </c>
      <c r="H45">
        <f>B5*(SIN(M46))</f>
        <v>1075</v>
      </c>
      <c r="I45">
        <f>(B6*(COS(M44)-COS(M45)*COS(M46)))/(SIN(M46))</f>
        <v>4.6126839327309543E-14</v>
      </c>
      <c r="K45" t="s">
        <v>93</v>
      </c>
      <c r="L45">
        <f>D5</f>
        <v>90</v>
      </c>
      <c r="M45">
        <f>RADIANS(L45)</f>
        <v>1.5707963267948966</v>
      </c>
    </row>
    <row r="46" spans="1:13" ht="15" customHeight="1" x14ac:dyDescent="0.25">
      <c r="B46" t="str">
        <f t="shared" si="7"/>
        <v>P2</v>
      </c>
      <c r="C46">
        <f t="shared" si="4"/>
        <v>-15.339999999999964</v>
      </c>
      <c r="D46">
        <f t="shared" si="5"/>
        <v>268.75</v>
      </c>
      <c r="E46">
        <f t="shared" si="6"/>
        <v>323.79000000000002</v>
      </c>
      <c r="G46">
        <f>0</f>
        <v>0</v>
      </c>
      <c r="H46">
        <f>0</f>
        <v>0</v>
      </c>
      <c r="I46">
        <f>B6*(SQRT(1-POWER(COS(M45),2)-(POWER(COS(M44)-(COS(M45)*COS(M46)),2))/(POWER(SIN(M46),2))))</f>
        <v>753</v>
      </c>
      <c r="K46" t="s">
        <v>94</v>
      </c>
      <c r="L46">
        <f>D6</f>
        <v>90</v>
      </c>
      <c r="M46">
        <f>RADIANS(L46)</f>
        <v>1.5707963267948966</v>
      </c>
    </row>
    <row r="47" spans="1:13" ht="15" customHeight="1" x14ac:dyDescent="0.25">
      <c r="B47" t="str">
        <f t="shared" si="7"/>
        <v>P3</v>
      </c>
      <c r="C47">
        <f t="shared" si="4"/>
        <v>-226.26499999999999</v>
      </c>
      <c r="D47">
        <f t="shared" si="5"/>
        <v>-41.924999999999983</v>
      </c>
      <c r="E47">
        <f t="shared" si="6"/>
        <v>222.88799999999998</v>
      </c>
      <c r="G47" s="65" t="s">
        <v>272</v>
      </c>
      <c r="H47" s="65"/>
    </row>
    <row r="48" spans="1:13" ht="15" customHeight="1" x14ac:dyDescent="0.25">
      <c r="B48" t="str">
        <f t="shared" si="7"/>
        <v>P4</v>
      </c>
      <c r="C48">
        <f t="shared" si="4"/>
        <v>156.46799999999999</v>
      </c>
      <c r="D48">
        <f t="shared" si="5"/>
        <v>-41.92499999999999</v>
      </c>
      <c r="E48">
        <f t="shared" si="6"/>
        <v>153.61199999999999</v>
      </c>
      <c r="G48" s="6">
        <f>1/G44</f>
        <v>1.3037809647979139E-3</v>
      </c>
      <c r="H48">
        <f>-H44/(G44*H45)</f>
        <v>-7.9866261728071708E-20</v>
      </c>
      <c r="I48">
        <f>(H44*I45)/(G44*H45*I46)-I44/(G44*I46)</f>
        <v>-7.9866261728071708E-20</v>
      </c>
    </row>
    <row r="49" spans="1:11" ht="15" customHeight="1" x14ac:dyDescent="0.25">
      <c r="B49" t="str">
        <f t="shared" si="7"/>
        <v>P5</v>
      </c>
      <c r="C49">
        <f t="shared" si="4"/>
        <v>15.340000000000011</v>
      </c>
      <c r="D49">
        <f t="shared" si="5"/>
        <v>-268.75</v>
      </c>
      <c r="E49">
        <f t="shared" si="6"/>
        <v>432.97499999999997</v>
      </c>
      <c r="G49" s="6">
        <f>0</f>
        <v>0</v>
      </c>
      <c r="H49" s="6">
        <f>1/H45</f>
        <v>9.3023255813953494E-4</v>
      </c>
      <c r="I49">
        <f>-I45/(H45*I46)</f>
        <v>-5.6983649065517207E-20</v>
      </c>
    </row>
    <row r="50" spans="1:11" ht="15" customHeight="1" x14ac:dyDescent="0.25">
      <c r="B50" t="str">
        <f t="shared" si="7"/>
        <v>P6</v>
      </c>
      <c r="C50">
        <f t="shared" si="4"/>
        <v>226.26500000000001</v>
      </c>
      <c r="D50">
        <f t="shared" si="5"/>
        <v>41.925000000000033</v>
      </c>
      <c r="E50">
        <f t="shared" si="6"/>
        <v>530.11199999999997</v>
      </c>
      <c r="G50" s="6">
        <f>0</f>
        <v>0</v>
      </c>
      <c r="H50">
        <f>0</f>
        <v>0</v>
      </c>
      <c r="I50" s="6">
        <f>1/I46</f>
        <v>1.3280212483399733E-3</v>
      </c>
    </row>
    <row r="51" spans="1:11" ht="15" customHeight="1" x14ac:dyDescent="0.25">
      <c r="A51" t="s">
        <v>203</v>
      </c>
      <c r="B51" t="s">
        <v>204</v>
      </c>
      <c r="C51">
        <f>AVERAGE(C45:C50)</f>
        <v>0</v>
      </c>
      <c r="D51">
        <f>AVERAGE(D45:D50)</f>
        <v>0</v>
      </c>
      <c r="E51">
        <f>AVERAGE(E45:E50)</f>
        <v>377.1275</v>
      </c>
      <c r="G51" s="6"/>
      <c r="I51" s="6"/>
    </row>
    <row r="52" spans="1:11" ht="15" customHeight="1" x14ac:dyDescent="0.25">
      <c r="G52" s="6"/>
    </row>
    <row r="53" spans="1:11" ht="15" customHeight="1" x14ac:dyDescent="0.25">
      <c r="A53" s="19" t="s">
        <v>205</v>
      </c>
      <c r="G53" s="6"/>
    </row>
    <row r="54" spans="1:11" ht="15" customHeight="1" x14ac:dyDescent="0.25">
      <c r="A54" s="30" t="s">
        <v>211</v>
      </c>
      <c r="B54" t="s">
        <v>208</v>
      </c>
      <c r="C54">
        <f t="shared" ref="C54:E60" si="8">C44-C$51</f>
        <v>2.3063419663654772E-14</v>
      </c>
      <c r="D54">
        <f t="shared" si="8"/>
        <v>2.3063419663654772E-14</v>
      </c>
      <c r="E54">
        <f t="shared" si="8"/>
        <v>-0.62749999999999773</v>
      </c>
      <c r="G54" s="6" t="s">
        <v>37</v>
      </c>
      <c r="H54">
        <f t="shared" ref="H54:H60" si="9">SQRT(POWER(C54,2)+POWER(D54,2)+POWER(E54,2))</f>
        <v>0.62749999999999773</v>
      </c>
    </row>
    <row r="55" spans="1:11" ht="15" customHeight="1" x14ac:dyDescent="0.25">
      <c r="A55" s="4" t="s">
        <v>212</v>
      </c>
      <c r="B55" s="7" t="s">
        <v>36</v>
      </c>
      <c r="C55">
        <f t="shared" si="8"/>
        <v>-156.46799999999996</v>
      </c>
      <c r="D55">
        <f t="shared" si="8"/>
        <v>41.925000000000033</v>
      </c>
      <c r="E55">
        <f t="shared" si="8"/>
        <v>222.26050000000004</v>
      </c>
      <c r="G55" s="6" t="s">
        <v>34</v>
      </c>
      <c r="H55">
        <f t="shared" si="9"/>
        <v>275.0266723597004</v>
      </c>
      <c r="J55" s="4" t="s">
        <v>314</v>
      </c>
      <c r="K55">
        <f>AVERAGE(H55:H60)</f>
        <v>275.62735490774713</v>
      </c>
    </row>
    <row r="56" spans="1:11" ht="15" customHeight="1" x14ac:dyDescent="0.25">
      <c r="A56" s="4" t="s">
        <v>213</v>
      </c>
      <c r="B56" s="7" t="s">
        <v>39</v>
      </c>
      <c r="C56">
        <f t="shared" si="8"/>
        <v>-15.339999999999964</v>
      </c>
      <c r="D56">
        <f t="shared" si="8"/>
        <v>268.75</v>
      </c>
      <c r="E56">
        <f t="shared" si="8"/>
        <v>-53.337499999999977</v>
      </c>
      <c r="G56" s="6" t="s">
        <v>37</v>
      </c>
      <c r="H56">
        <f t="shared" si="9"/>
        <v>274.42078457407337</v>
      </c>
      <c r="J56" s="4"/>
    </row>
    <row r="57" spans="1:11" ht="15" customHeight="1" x14ac:dyDescent="0.25">
      <c r="A57" s="4" t="s">
        <v>214</v>
      </c>
      <c r="B57" s="7" t="s">
        <v>42</v>
      </c>
      <c r="C57">
        <f t="shared" si="8"/>
        <v>-226.26499999999999</v>
      </c>
      <c r="D57">
        <f t="shared" si="8"/>
        <v>-41.924999999999983</v>
      </c>
      <c r="E57">
        <f t="shared" si="8"/>
        <v>-154.23950000000002</v>
      </c>
      <c r="G57" s="6" t="s">
        <v>40</v>
      </c>
      <c r="H57">
        <f t="shared" si="9"/>
        <v>277.02595403725263</v>
      </c>
    </row>
    <row r="58" spans="1:11" ht="15" customHeight="1" x14ac:dyDescent="0.25">
      <c r="A58" s="4" t="s">
        <v>215</v>
      </c>
      <c r="B58" s="7" t="s">
        <v>45</v>
      </c>
      <c r="C58">
        <f>C48-C$51</f>
        <v>156.46799999999999</v>
      </c>
      <c r="D58">
        <f t="shared" si="8"/>
        <v>-41.92499999999999</v>
      </c>
      <c r="E58">
        <f t="shared" si="8"/>
        <v>-223.5155</v>
      </c>
      <c r="G58" s="6" t="s">
        <v>43</v>
      </c>
      <c r="H58">
        <f t="shared" si="9"/>
        <v>276.04187977415671</v>
      </c>
    </row>
    <row r="59" spans="1:11" ht="15" customHeight="1" x14ac:dyDescent="0.25">
      <c r="A59" s="4" t="s">
        <v>216</v>
      </c>
      <c r="B59" s="7" t="s">
        <v>48</v>
      </c>
      <c r="C59">
        <f t="shared" si="8"/>
        <v>15.340000000000011</v>
      </c>
      <c r="D59">
        <f t="shared" si="8"/>
        <v>-268.75</v>
      </c>
      <c r="E59">
        <f t="shared" si="8"/>
        <v>55.847499999999968</v>
      </c>
      <c r="G59" s="6" t="s">
        <v>46</v>
      </c>
      <c r="H59">
        <f t="shared" si="9"/>
        <v>274.91966345870935</v>
      </c>
    </row>
    <row r="60" spans="1:11" ht="15" customHeight="1" x14ac:dyDescent="0.25">
      <c r="A60" s="4" t="s">
        <v>217</v>
      </c>
      <c r="B60" s="7" t="s">
        <v>102</v>
      </c>
      <c r="C60">
        <f t="shared" si="8"/>
        <v>226.26500000000001</v>
      </c>
      <c r="D60">
        <f t="shared" si="8"/>
        <v>41.925000000000033</v>
      </c>
      <c r="E60">
        <f t="shared" si="8"/>
        <v>152.98449999999997</v>
      </c>
      <c r="G60" s="6" t="s">
        <v>49</v>
      </c>
      <c r="H60">
        <f t="shared" si="9"/>
        <v>276.32917524259</v>
      </c>
    </row>
    <row r="61" spans="1:11" ht="15" customHeight="1" x14ac:dyDescent="0.25"/>
    <row r="62" spans="1:11" ht="15" customHeight="1" x14ac:dyDescent="0.25">
      <c r="A62" s="17" t="s">
        <v>157</v>
      </c>
      <c r="B62" s="7" t="str">
        <f t="shared" ref="B62:B67" si="10">B55</f>
        <v>vector P1</v>
      </c>
      <c r="C62">
        <f t="shared" ref="C62:E67" si="11">C55/$K$55</f>
        <v>-0.56767950355424635</v>
      </c>
      <c r="D62">
        <f t="shared" si="11"/>
        <v>0.15210754394835879</v>
      </c>
      <c r="E62">
        <f t="shared" si="11"/>
        <v>0.80638041196742227</v>
      </c>
      <c r="G62" s="6" t="s">
        <v>34</v>
      </c>
      <c r="H62">
        <f t="shared" ref="H62:H67" si="12">SQRT(POWER(C62,2)+POWER(D62,2)+POWER(E62,2))</f>
        <v>0.99782067150683307</v>
      </c>
      <c r="J62" s="4" t="s">
        <v>314</v>
      </c>
      <c r="K62">
        <f>AVERAGE(H62:H67)</f>
        <v>0.99999999999999989</v>
      </c>
    </row>
    <row r="63" spans="1:11" ht="15" customHeight="1" x14ac:dyDescent="0.25">
      <c r="A63" s="4"/>
      <c r="B63" s="7" t="str">
        <f t="shared" si="10"/>
        <v>vector P2</v>
      </c>
      <c r="C63">
        <f t="shared" si="11"/>
        <v>-5.5654853289631878E-2</v>
      </c>
      <c r="D63">
        <f t="shared" si="11"/>
        <v>0.97504835864332484</v>
      </c>
      <c r="E63">
        <f t="shared" si="11"/>
        <v>-0.19351308587586349</v>
      </c>
      <c r="G63" s="6" t="s">
        <v>37</v>
      </c>
      <c r="H63">
        <f t="shared" si="12"/>
        <v>0.99562245795930682</v>
      </c>
      <c r="J63" s="4"/>
    </row>
    <row r="64" spans="1:11" ht="15" customHeight="1" x14ac:dyDescent="0.25">
      <c r="A64" s="4"/>
      <c r="B64" s="7" t="str">
        <f t="shared" si="10"/>
        <v>vector P3</v>
      </c>
      <c r="C64">
        <f t="shared" si="11"/>
        <v>-0.82090908602207213</v>
      </c>
      <c r="D64">
        <f t="shared" si="11"/>
        <v>-0.1521075439483586</v>
      </c>
      <c r="E64">
        <f t="shared" si="11"/>
        <v>-0.55959431186220321</v>
      </c>
      <c r="G64" s="6" t="s">
        <v>40</v>
      </c>
      <c r="H64">
        <f t="shared" si="12"/>
        <v>1.0050742392023231</v>
      </c>
    </row>
    <row r="65" spans="1:15" ht="15" customHeight="1" x14ac:dyDescent="0.25">
      <c r="A65" s="4"/>
      <c r="B65" s="7" t="str">
        <f t="shared" si="10"/>
        <v>vector P4</v>
      </c>
      <c r="C65">
        <f t="shared" si="11"/>
        <v>0.56767950355424646</v>
      </c>
      <c r="D65">
        <f t="shared" si="11"/>
        <v>-0.15210754394835863</v>
      </c>
      <c r="E65">
        <f t="shared" si="11"/>
        <v>-0.81093366104685416</v>
      </c>
      <c r="G65" s="6" t="s">
        <v>43</v>
      </c>
      <c r="H65">
        <f t="shared" si="12"/>
        <v>1.0015039322441284</v>
      </c>
    </row>
    <row r="66" spans="1:15" ht="15" customHeight="1" x14ac:dyDescent="0.25">
      <c r="A66" s="4"/>
      <c r="B66" s="7" t="str">
        <f t="shared" si="10"/>
        <v>vector P5</v>
      </c>
      <c r="C66">
        <f t="shared" si="11"/>
        <v>5.5654853289632045E-2</v>
      </c>
      <c r="D66">
        <f t="shared" si="11"/>
        <v>-0.97504835864332484</v>
      </c>
      <c r="E66">
        <f t="shared" si="11"/>
        <v>0.20261958403472763</v>
      </c>
      <c r="G66" s="6" t="s">
        <v>46</v>
      </c>
      <c r="H66">
        <f t="shared" si="12"/>
        <v>0.9974324339132643</v>
      </c>
    </row>
    <row r="67" spans="1:15" ht="15" customHeight="1" x14ac:dyDescent="0.25">
      <c r="B67" s="7" t="str">
        <f t="shared" si="10"/>
        <v>vector P6</v>
      </c>
      <c r="C67">
        <f t="shared" si="11"/>
        <v>0.82090908602207224</v>
      </c>
      <c r="D67">
        <f t="shared" si="11"/>
        <v>0.15210754394835879</v>
      </c>
      <c r="E67">
        <f t="shared" si="11"/>
        <v>0.55504106278277099</v>
      </c>
      <c r="G67" s="6" t="s">
        <v>49</v>
      </c>
      <c r="H67">
        <f t="shared" si="12"/>
        <v>1.0025462651741435</v>
      </c>
    </row>
    <row r="68" spans="1:15" ht="15" customHeight="1" x14ac:dyDescent="0.25"/>
    <row r="69" spans="1:15" ht="15" customHeight="1" x14ac:dyDescent="0.25">
      <c r="A69" s="19" t="s">
        <v>321</v>
      </c>
      <c r="B69" s="7"/>
      <c r="C69" t="s">
        <v>63</v>
      </c>
      <c r="D69" t="s">
        <v>64</v>
      </c>
      <c r="E69" t="s">
        <v>65</v>
      </c>
      <c r="J69" t="s">
        <v>87</v>
      </c>
      <c r="K69" t="s">
        <v>88</v>
      </c>
    </row>
    <row r="70" spans="1:15" ht="15" customHeight="1" x14ac:dyDescent="0.25">
      <c r="B70" s="7" t="str">
        <f t="shared" ref="B70:B75" si="13">E11</f>
        <v>P1*</v>
      </c>
      <c r="C70">
        <f>SIN($I$23)*COS($I$24)</f>
        <v>-0.5683718549033222</v>
      </c>
      <c r="D70">
        <f>SIN($I$23)*SIN($I$24)</f>
        <v>0.15200213645865146</v>
      </c>
      <c r="E70">
        <f>COS($I$23)</f>
        <v>0.80860916706760277</v>
      </c>
      <c r="G70" s="6" t="s">
        <v>66</v>
      </c>
      <c r="H70">
        <f t="shared" ref="H70:H75" si="14">SQRT(POWER(C70,2)+POWER(D70,2)+POWER(E70,2))</f>
        <v>1</v>
      </c>
      <c r="I70" s="6"/>
      <c r="J70">
        <f>ACOS((C70*C71+D70*D71+E70*E71)/(SQRT(C70^2+D70^2+E70^2)*SQRT(C71^2+D71^2+E71^2)))</f>
        <v>1.5546932736746484</v>
      </c>
      <c r="K70">
        <f t="shared" ref="K70:K75" si="15">DEGREES(J70)</f>
        <v>89.077363018934804</v>
      </c>
      <c r="L70" t="s">
        <v>80</v>
      </c>
    </row>
    <row r="71" spans="1:15" ht="15" customHeight="1" x14ac:dyDescent="0.25">
      <c r="B71" s="7" t="str">
        <f t="shared" si="13"/>
        <v>P2*</v>
      </c>
      <c r="C71">
        <f>C86*C70+D86*D70+E86*E70</f>
        <v>-0.38459306492646994</v>
      </c>
      <c r="D71">
        <f>C87*C70+D87*D70+E87*E70</f>
        <v>0.82889301457736664</v>
      </c>
      <c r="E71">
        <f>C88*C70+D88*D70+E88*E70</f>
        <v>-0.40623213166280825</v>
      </c>
      <c r="G71" s="6" t="s">
        <v>67</v>
      </c>
      <c r="H71">
        <f t="shared" si="14"/>
        <v>0.99999999999999978</v>
      </c>
      <c r="J71">
        <f>ACOS((C71*C72+D71*D72+E71*E72)/(SQRT(C71^2+D71^2+E71^2)*SQRT(C72^2+D72^2+E72^2)))</f>
        <v>1.5546932736746484</v>
      </c>
      <c r="K71">
        <f t="shared" si="15"/>
        <v>89.077363018934804</v>
      </c>
      <c r="L71" t="s">
        <v>81</v>
      </c>
    </row>
    <row r="72" spans="1:15" ht="15" customHeight="1" x14ac:dyDescent="0.25">
      <c r="B72" s="7" t="str">
        <f t="shared" si="13"/>
        <v>P3*</v>
      </c>
      <c r="C72">
        <f>C86*C71+D86*D71+E86*E71</f>
        <v>-0.74700852853077249</v>
      </c>
      <c r="D72">
        <f>C87*C71+D87*D71+E87*E71</f>
        <v>-0.52626392001255418</v>
      </c>
      <c r="E72" s="11">
        <f>C88*C71+D88*D71+E88*E71</f>
        <v>-0.40623213166280858</v>
      </c>
      <c r="G72" s="6" t="s">
        <v>68</v>
      </c>
      <c r="H72">
        <f t="shared" si="14"/>
        <v>0.99999999999999978</v>
      </c>
      <c r="J72">
        <f>ACOS((C72*C70+D72*D70+E72*E70)/(SQRT(C72^2+D72^2+E72^2)*SQRT(C70^2+D70^2+E70^2)))</f>
        <v>1.5546932736746488</v>
      </c>
      <c r="K72">
        <f t="shared" si="15"/>
        <v>89.077363018934832</v>
      </c>
      <c r="L72" t="s">
        <v>89</v>
      </c>
    </row>
    <row r="73" spans="1:15" ht="15" customHeight="1" x14ac:dyDescent="0.25">
      <c r="B73" t="str">
        <f t="shared" si="13"/>
        <v>P4*</v>
      </c>
      <c r="C73">
        <f>C80*C82+D80*D82+E80*E82</f>
        <v>0.56837185490332254</v>
      </c>
      <c r="D73">
        <f>C80*C83+D80*D83+E80*E83</f>
        <v>-0.15200213645865143</v>
      </c>
      <c r="E73">
        <f>C80*C84+D80*D84+E80*E84</f>
        <v>-0.80860916706760244</v>
      </c>
      <c r="G73" s="6" t="s">
        <v>69</v>
      </c>
      <c r="H73">
        <f>SQRT(POWER(C73,2)+POWER(D73,2)+POWER(E73,2))</f>
        <v>1</v>
      </c>
      <c r="J73">
        <f>ACOS((C73*C74+D73*D74+E73*E74)/(SQRT(C73^2+D73^2+E73^2)*SQRT(C74^2+D74^2+E74^2)))</f>
        <v>1.5546932736746477</v>
      </c>
      <c r="K73">
        <f t="shared" si="15"/>
        <v>89.077363018934776</v>
      </c>
      <c r="L73" t="s">
        <v>90</v>
      </c>
    </row>
    <row r="74" spans="1:15" ht="15" customHeight="1" x14ac:dyDescent="0.25">
      <c r="B74" s="7" t="str">
        <f t="shared" si="13"/>
        <v>P5*</v>
      </c>
      <c r="C74">
        <f>C86*C73+D86*D73+E86*E73</f>
        <v>0.38459306492647027</v>
      </c>
      <c r="D74">
        <f>C73*C87+D87*D73+E87*E73</f>
        <v>-0.82889301457736653</v>
      </c>
      <c r="E74">
        <f>C88*C73+D88*D73+E88*E73</f>
        <v>0.40623213166280797</v>
      </c>
      <c r="G74" s="6" t="s">
        <v>70</v>
      </c>
      <c r="H74">
        <f t="shared" si="14"/>
        <v>0.99999999999999978</v>
      </c>
      <c r="J74">
        <f>ACOS((C74*C75+D74*D75+E74*E75)/(SQRT(C74^2+D74^2+E74^2)*SQRT(C75^2+D75^2+E75^2)))</f>
        <v>1.5546932736746479</v>
      </c>
      <c r="K74">
        <f t="shared" si="15"/>
        <v>89.077363018934776</v>
      </c>
      <c r="L74" t="s">
        <v>91</v>
      </c>
    </row>
    <row r="75" spans="1:15" ht="15" customHeight="1" x14ac:dyDescent="0.25">
      <c r="B75" s="7" t="str">
        <f t="shared" si="13"/>
        <v>P6*</v>
      </c>
      <c r="C75">
        <f>C86*C74+D86*D74+E86*E74</f>
        <v>0.74700852853077271</v>
      </c>
      <c r="D75">
        <f>C87*C74+D87*D74+E87*E74</f>
        <v>0.52626392001255384</v>
      </c>
      <c r="E75">
        <f>C88*C74+D88*D74+E88*E74</f>
        <v>0.40623213166280847</v>
      </c>
      <c r="G75" s="6" t="s">
        <v>71</v>
      </c>
      <c r="H75">
        <f t="shared" si="14"/>
        <v>0.99999999999999967</v>
      </c>
      <c r="J75">
        <f>ACOS((C75*C70+D75*D70+E75*E70)/(SQRT(C75^2+D75^2+E75^2)*SQRT(C70^2+D70^2+E70^2)))</f>
        <v>1.5868993799151447</v>
      </c>
      <c r="K75">
        <f t="shared" si="15"/>
        <v>90.922636981065196</v>
      </c>
      <c r="L75" t="s">
        <v>92</v>
      </c>
    </row>
    <row r="76" spans="1:15" ht="15" customHeight="1" x14ac:dyDescent="0.25">
      <c r="B76" s="7"/>
      <c r="G76" s="6"/>
    </row>
    <row r="77" spans="1:15" ht="15" customHeight="1" x14ac:dyDescent="0.25">
      <c r="A77" s="67" t="s">
        <v>291</v>
      </c>
      <c r="B77" s="7" t="s">
        <v>187</v>
      </c>
      <c r="C77">
        <f>SIN($I$23-(PI()-I26)/2)*SIN((PI()/2)+$I$24)</f>
        <v>-0.9660477464546986</v>
      </c>
      <c r="D77">
        <f>SIN($I$23-((PI()-I26)/2))*SIN($I$24)</f>
        <v>0.25835431525221625</v>
      </c>
      <c r="E77">
        <f>SIN((PI()/2)+$I$23-((PI()-I26)/2))</f>
        <v>-2.1907442472187087E-3</v>
      </c>
      <c r="G77" s="6"/>
      <c r="O77" s="6"/>
    </row>
    <row r="78" spans="1:15" ht="15" customHeight="1" x14ac:dyDescent="0.25">
      <c r="A78" s="68"/>
      <c r="B78" s="7"/>
      <c r="G78" s="6"/>
    </row>
    <row r="79" spans="1:15" ht="15" customHeight="1" x14ac:dyDescent="0.25">
      <c r="B79" s="7"/>
      <c r="G79" s="6"/>
    </row>
    <row r="80" spans="1:15" ht="15" customHeight="1" x14ac:dyDescent="0.25">
      <c r="A80" s="12" t="s">
        <v>191</v>
      </c>
      <c r="B80" s="7" t="s">
        <v>190</v>
      </c>
      <c r="C80">
        <f>SIN($I$23+I26)*COS($I$24)</f>
        <v>0.56494377733705492</v>
      </c>
      <c r="D80">
        <f>SIN($I$23+I26)*SIN($I$24)</f>
        <v>-0.15108535089032449</v>
      </c>
      <c r="E80">
        <f>COS($I$23+I26)</f>
        <v>0.81117923123961189</v>
      </c>
      <c r="G80" s="6"/>
    </row>
    <row r="81" spans="1:8" ht="15" customHeight="1" x14ac:dyDescent="0.25">
      <c r="B81" s="7"/>
      <c r="G81" s="6"/>
    </row>
    <row r="82" spans="1:8" ht="15" customHeight="1" x14ac:dyDescent="0.25">
      <c r="A82" s="67" t="s">
        <v>180</v>
      </c>
      <c r="C82">
        <f>(C77^2)*(1-COS(G83))+COS(G83)</f>
        <v>0.8664964968604032</v>
      </c>
      <c r="D82">
        <f>C77*D77*(1-COS(G83))-E77*SIN(G83)</f>
        <v>-0.49916520807250053</v>
      </c>
      <c r="E82">
        <f>C77*E77*(1-COS(G83))+D77*SIN(G83)</f>
        <v>4.2327270861684885E-3</v>
      </c>
      <c r="G82" s="6" t="s">
        <v>189</v>
      </c>
      <c r="H82" t="s">
        <v>188</v>
      </c>
    </row>
    <row r="83" spans="1:8" ht="15" customHeight="1" x14ac:dyDescent="0.25">
      <c r="A83" s="68"/>
      <c r="B83" t="s">
        <v>364</v>
      </c>
      <c r="C83">
        <f>D77*C77*(1-COS(G83))+E77*SIN(G83)</f>
        <v>-0.49916520807250053</v>
      </c>
      <c r="D83">
        <f>(D77^2)*(1-COS(G83))+COS(G83)</f>
        <v>-0.86650609558111691</v>
      </c>
      <c r="E83">
        <f>D77*E77*(1-COS(G83))-C77*SIN(G83)</f>
        <v>-1.1319764597657244E-3</v>
      </c>
      <c r="G83" s="6">
        <f>PI()</f>
        <v>3.1415926535897931</v>
      </c>
      <c r="H83">
        <v>180</v>
      </c>
    </row>
    <row r="84" spans="1:8" ht="15" customHeight="1" x14ac:dyDescent="0.25">
      <c r="B84" s="7"/>
      <c r="C84">
        <f>E77*C77*(1-COS(G83))-D77*SIN(G83)</f>
        <v>4.2327270861684261E-3</v>
      </c>
      <c r="D84">
        <f>D77*E77*(1-COS(G83))+C77*SIN(G83)</f>
        <v>-1.1319764597659612E-3</v>
      </c>
      <c r="E84">
        <f>(E77^2)*(1-COS(G83))+COS(G83)</f>
        <v>-0.99999040127928651</v>
      </c>
      <c r="G84" s="6"/>
    </row>
    <row r="85" spans="1:8" ht="15" customHeight="1" x14ac:dyDescent="0.25">
      <c r="B85" s="7"/>
      <c r="G85" s="6"/>
    </row>
    <row r="86" spans="1:8" ht="15" customHeight="1" x14ac:dyDescent="0.25">
      <c r="A86" s="67" t="s">
        <v>180</v>
      </c>
      <c r="C86">
        <f>(C77^2)*(1-COS(G87))+COS(G87)</f>
        <v>0.8998723726453024</v>
      </c>
      <c r="D86">
        <f>C77*D77*(1-COS(G87))-E77*SIN(G87)</f>
        <v>-0.37247666588308936</v>
      </c>
      <c r="E86">
        <f>C77*E77*(1-COS(G87))+D77*SIN(G87)</f>
        <v>0.22691594550037911</v>
      </c>
      <c r="G86" s="6" t="s">
        <v>189</v>
      </c>
      <c r="H86" t="s">
        <v>188</v>
      </c>
    </row>
    <row r="87" spans="1:8" ht="15" customHeight="1" x14ac:dyDescent="0.25">
      <c r="A87" s="68"/>
      <c r="B87" t="s">
        <v>313</v>
      </c>
      <c r="C87">
        <f>D77*C77*(1-COS(G87))+E77*SIN(G87)</f>
        <v>-0.37627114622566138</v>
      </c>
      <c r="D87">
        <f>(D77^2)*(1-COS(G87))+COS(G87)</f>
        <v>-0.39987957168583749</v>
      </c>
      <c r="E87">
        <f>D77*E77*(1-COS(G87))-C77*SIN(G87)</f>
        <v>0.83577290735365306</v>
      </c>
      <c r="G87" s="6">
        <f>RADIANS(H87)</f>
        <v>2.0943951023931953</v>
      </c>
      <c r="H87">
        <v>120</v>
      </c>
    </row>
    <row r="88" spans="1:8" ht="15" customHeight="1" x14ac:dyDescent="0.25">
      <c r="C88">
        <f>E77*C77*(1-COS(G87))-D77*SIN(G87)</f>
        <v>-0.2205668548711264</v>
      </c>
      <c r="D88">
        <f>D77*E77*(1-COS(G87))+C77*SIN(G87)</f>
        <v>-0.83747087204330173</v>
      </c>
      <c r="E88">
        <f>(E77^2)*(1-COS(G87))+COS(G87)</f>
        <v>-0.49999280095946469</v>
      </c>
      <c r="G88" s="6"/>
    </row>
    <row r="89" spans="1:8" ht="15" customHeight="1" x14ac:dyDescent="0.25"/>
    <row r="90" spans="1:8" ht="15" customHeight="1" x14ac:dyDescent="0.25">
      <c r="A90" s="12" t="s">
        <v>86</v>
      </c>
      <c r="B90" s="7" t="s">
        <v>73</v>
      </c>
      <c r="C90">
        <f t="shared" ref="C90:E92" si="16">C70-C62</f>
        <v>-6.9235134907585927E-4</v>
      </c>
      <c r="D90">
        <f t="shared" si="16"/>
        <v>-1.0540748970733205E-4</v>
      </c>
      <c r="E90">
        <f t="shared" si="16"/>
        <v>2.2287551001805017E-3</v>
      </c>
      <c r="G90" s="6" t="s">
        <v>78</v>
      </c>
      <c r="H90">
        <f t="shared" ref="H90:H95" si="17">SQRT(POWER(C90,2)+POWER(D90,2)+POWER(E90,2))</f>
        <v>2.3361957165516254E-3</v>
      </c>
    </row>
    <row r="91" spans="1:8" ht="15" customHeight="1" x14ac:dyDescent="0.25">
      <c r="B91" s="7" t="s">
        <v>74</v>
      </c>
      <c r="C91">
        <f t="shared" si="16"/>
        <v>-0.32893821163683806</v>
      </c>
      <c r="D91">
        <f t="shared" si="16"/>
        <v>-0.1461553440659582</v>
      </c>
      <c r="E91">
        <f t="shared" si="16"/>
        <v>-0.21271904578694475</v>
      </c>
      <c r="G91" s="6" t="s">
        <v>78</v>
      </c>
      <c r="H91">
        <f t="shared" si="17"/>
        <v>0.418104202459612</v>
      </c>
    </row>
    <row r="92" spans="1:8" ht="15" customHeight="1" x14ac:dyDescent="0.25">
      <c r="B92" s="7" t="s">
        <v>75</v>
      </c>
      <c r="C92">
        <f t="shared" si="16"/>
        <v>7.3900557491299645E-2</v>
      </c>
      <c r="D92">
        <f t="shared" si="16"/>
        <v>-0.37415637606419561</v>
      </c>
      <c r="E92">
        <f t="shared" si="16"/>
        <v>0.15336218019939463</v>
      </c>
      <c r="G92" s="6" t="s">
        <v>78</v>
      </c>
      <c r="H92">
        <f t="shared" si="17"/>
        <v>0.41106476918185075</v>
      </c>
    </row>
    <row r="93" spans="1:8" ht="15" customHeight="1" x14ac:dyDescent="0.25">
      <c r="B93" s="7" t="s">
        <v>76</v>
      </c>
      <c r="C93">
        <f t="shared" ref="C93:E94" si="18">C73-C65</f>
        <v>6.9235134907608131E-4</v>
      </c>
      <c r="D93">
        <f t="shared" si="18"/>
        <v>1.0540748970719327E-4</v>
      </c>
      <c r="E93">
        <f t="shared" si="18"/>
        <v>2.3244939792517183E-3</v>
      </c>
      <c r="G93" s="6" t="s">
        <v>78</v>
      </c>
      <c r="H93">
        <f t="shared" si="17"/>
        <v>2.4277012561333259E-3</v>
      </c>
    </row>
    <row r="94" spans="1:8" ht="15" customHeight="1" x14ac:dyDescent="0.25">
      <c r="B94" s="7" t="s">
        <v>77</v>
      </c>
      <c r="C94">
        <f t="shared" si="18"/>
        <v>0.32893821163683823</v>
      </c>
      <c r="D94">
        <f t="shared" si="18"/>
        <v>0.14615534406595831</v>
      </c>
      <c r="E94">
        <f t="shared" si="18"/>
        <v>0.20361254762808034</v>
      </c>
      <c r="G94" s="6" t="s">
        <v>78</v>
      </c>
      <c r="H94">
        <f t="shared" si="17"/>
        <v>0.41354540406765167</v>
      </c>
    </row>
    <row r="95" spans="1:8" ht="15" customHeight="1" x14ac:dyDescent="0.25">
      <c r="B95" s="7" t="s">
        <v>103</v>
      </c>
      <c r="C95">
        <f>C75-C67</f>
        <v>-7.3900557491299534E-2</v>
      </c>
      <c r="D95">
        <f>D75-D67</f>
        <v>0.37415637606419505</v>
      </c>
      <c r="E95">
        <f>E75-E67</f>
        <v>-0.14880893111996252</v>
      </c>
      <c r="G95" s="6" t="s">
        <v>78</v>
      </c>
      <c r="H95">
        <f t="shared" si="17"/>
        <v>0.40938781629169424</v>
      </c>
    </row>
    <row r="96" spans="1:8" ht="15" customHeight="1" x14ac:dyDescent="0.25"/>
    <row r="97" spans="1:12" ht="15" customHeight="1" x14ac:dyDescent="0.25"/>
    <row r="98" spans="1:12" ht="15" customHeight="1" x14ac:dyDescent="0.25">
      <c r="A98" s="67" t="s">
        <v>162</v>
      </c>
      <c r="C98">
        <f>(C70^2)*(1-COS($I$25))+COS($I$25)</f>
        <v>0.94182264216801803</v>
      </c>
      <c r="D98">
        <f>C70*D70*(1-COS($I$25))-E70*SIN($I$25)</f>
        <v>0.32053015872023066</v>
      </c>
      <c r="E98">
        <f>C70*E70*(1-COS($I$25))+D70*SIN($I$25)</f>
        <v>-0.10114607283744273</v>
      </c>
    </row>
    <row r="99" spans="1:12" ht="15" customHeight="1" x14ac:dyDescent="0.25">
      <c r="A99" s="68"/>
      <c r="B99" t="s">
        <v>237</v>
      </c>
      <c r="C99">
        <f>D70*C70*(1-COS($I$25))+E70*SIN($I$25)</f>
        <v>-0.33537950891658735</v>
      </c>
      <c r="D99">
        <f>(D70^2)*(1-COS($I$25))+COS($I$25)</f>
        <v>0.91604564291988488</v>
      </c>
      <c r="E99">
        <f>D70*E70*(1-COS($I$25))-C70*SIN($I$25)</f>
        <v>-0.21995673457833351</v>
      </c>
    </row>
    <row r="100" spans="1:12" ht="15" customHeight="1" x14ac:dyDescent="0.25">
      <c r="C100">
        <f>E70*C70*(1-COS($I$25))-D70*SIN($I$25)</f>
        <v>2.2151652275219848E-2</v>
      </c>
      <c r="D100">
        <f>D70*E70*(1-COS($I$25))+C70*SIN($I$25)</f>
        <v>0.24108255316027841</v>
      </c>
      <c r="E100">
        <f>(E70^2)*(1-COS($I$25))+COS($I$25)</f>
        <v>0.97025177498585347</v>
      </c>
    </row>
    <row r="101" spans="1:12" ht="15" customHeight="1" x14ac:dyDescent="0.25">
      <c r="J101" t="s">
        <v>87</v>
      </c>
      <c r="K101" t="s">
        <v>88</v>
      </c>
    </row>
    <row r="102" spans="1:12" ht="15" customHeight="1" x14ac:dyDescent="0.25">
      <c r="A102" s="19" t="s">
        <v>340</v>
      </c>
      <c r="B102" t="str">
        <f>B70</f>
        <v>P1*</v>
      </c>
      <c r="C102">
        <f t="shared" ref="C102:H102" si="19">C70</f>
        <v>-0.5683718549033222</v>
      </c>
      <c r="D102">
        <f t="shared" si="19"/>
        <v>0.15200213645865146</v>
      </c>
      <c r="E102">
        <f t="shared" si="19"/>
        <v>0.80860916706760277</v>
      </c>
      <c r="G102" t="str">
        <f t="shared" si="19"/>
        <v>length of vector P0*</v>
      </c>
      <c r="H102">
        <f t="shared" si="19"/>
        <v>1</v>
      </c>
      <c r="J102">
        <f>ACOS((C102*C103+D102*D103+E102*E103)/(SQRT(C102^2+D102^2+E102^2)*SQRT(C103^2+D103^2+E103^2)))</f>
        <v>1.5546932736746484</v>
      </c>
      <c r="K102">
        <f t="shared" ref="K102:K107" si="20">DEGREES(J102)</f>
        <v>89.077363018934804</v>
      </c>
      <c r="L102" t="s">
        <v>80</v>
      </c>
    </row>
    <row r="103" spans="1:12" ht="15" customHeight="1" x14ac:dyDescent="0.25">
      <c r="B103" t="str">
        <f>B71</f>
        <v>P2*</v>
      </c>
      <c r="C103">
        <f>C71*$C$98+D71*$D$98+E71*$E$98</f>
        <v>-5.5444462265894175E-2</v>
      </c>
      <c r="D103">
        <f>C71*$C$99+D71*$D$99+E71*$E$99</f>
        <v>0.97764196085943689</v>
      </c>
      <c r="E103">
        <f>C71*$C$100+D71*$D$100+E71*$E$100</f>
        <v>-0.20283517439280746</v>
      </c>
      <c r="G103" s="6" t="s">
        <v>67</v>
      </c>
      <c r="H103">
        <f>SQRT(POWER(C103,2)+POWER(D103,2)+POWER(E103,2))</f>
        <v>0.99999999999999978</v>
      </c>
      <c r="J103">
        <f>ACOS((C103*C104+D103*D104+E103*E104)/(SQRT(C103^2+D103^2+E103^2)*SQRT(C104^2+D104^2+E104^2)))</f>
        <v>1.5546932736746484</v>
      </c>
      <c r="K103">
        <f t="shared" si="20"/>
        <v>89.077363018934804</v>
      </c>
      <c r="L103" t="s">
        <v>81</v>
      </c>
    </row>
    <row r="104" spans="1:12" ht="15" customHeight="1" x14ac:dyDescent="0.25">
      <c r="B104" t="str">
        <f>B72</f>
        <v>P3*</v>
      </c>
      <c r="C104">
        <f>C72*$C$98+D72*$D$98+E72*$E$98</f>
        <v>-0.83114421909517411</v>
      </c>
      <c r="D104">
        <f>C72*$C$99+D72*$D$99+E72*$E$99</f>
        <v>-0.14219692433693906</v>
      </c>
      <c r="E104">
        <f>C72*$C$100+D72*$D$100+E72*$E$100</f>
        <v>-0.53756796944552732</v>
      </c>
      <c r="G104" s="6" t="s">
        <v>68</v>
      </c>
      <c r="H104">
        <f>SQRT(POWER(C104,2)+POWER(D104,2)+POWER(E104,2))</f>
        <v>0.99999999999999967</v>
      </c>
      <c r="J104">
        <f>ACOS((C104*C105+D104*D105+E104*E105)/(SQRT(C104^2+D104^2+E104^2)*SQRT(C105^2+D105^2+E105^2)))</f>
        <v>1.586899379915145</v>
      </c>
      <c r="K104">
        <f t="shared" si="20"/>
        <v>90.92263698106521</v>
      </c>
      <c r="L104" t="s">
        <v>89</v>
      </c>
    </row>
    <row r="105" spans="1:12" ht="15" customHeight="1" x14ac:dyDescent="0.25">
      <c r="B105" t="s">
        <v>61</v>
      </c>
      <c r="C105">
        <f>C73*$C$98+D73*$D$98+E73*$E$98</f>
        <v>0.56837185490332254</v>
      </c>
      <c r="D105">
        <f>C73*$C$99+D73*$D$99+E73*$E$99</f>
        <v>-0.1520021364586516</v>
      </c>
      <c r="E105">
        <f>C73*$C$100+D73*$D$100+E73*$E$100</f>
        <v>-0.80860916706760244</v>
      </c>
      <c r="G105" s="6" t="s">
        <v>69</v>
      </c>
      <c r="H105">
        <f>SQRT(POWER(C105,2)+POWER(D105,2)+POWER(E105,2))</f>
        <v>1</v>
      </c>
      <c r="J105">
        <f>ACOS((C105*C106+D105*D106+E105*E106)/(SQRT(C105^2+D105^2+E105^2)*SQRT(C106^2+D106^2+E106^2)))</f>
        <v>1.5546932736746477</v>
      </c>
      <c r="K105">
        <f>DEGREES(J105)</f>
        <v>89.077363018934776</v>
      </c>
      <c r="L105" t="s">
        <v>90</v>
      </c>
    </row>
    <row r="106" spans="1:12" ht="15" customHeight="1" x14ac:dyDescent="0.25">
      <c r="B106" t="str">
        <f>B74</f>
        <v>P5*</v>
      </c>
      <c r="C106">
        <f>C74*$C$98+D74*$D$98+E74*$E$98</f>
        <v>5.5444462265894591E-2</v>
      </c>
      <c r="D106">
        <f>C74*$C$99+D74*$D$99+E74*$E$99</f>
        <v>-0.97764196085943689</v>
      </c>
      <c r="E106">
        <f>C74*$C$100+D74*$D$100+E74*$E$100</f>
        <v>0.20283517439280721</v>
      </c>
      <c r="G106" s="6" t="s">
        <v>70</v>
      </c>
      <c r="H106">
        <f>SQRT(POWER(C106,2)+POWER(D106,2)+POWER(E106,2))</f>
        <v>0.99999999999999978</v>
      </c>
      <c r="J106">
        <f>ACOS((C106*C107+D106*D107+E106*E107)/(SQRT(C106^2+D106^2+E106^2)*SQRT(C107^2+D107^2+E107^2)))</f>
        <v>1.558514100618388</v>
      </c>
      <c r="K106">
        <f t="shared" si="20"/>
        <v>89.296280277060958</v>
      </c>
      <c r="L106" t="s">
        <v>91</v>
      </c>
    </row>
    <row r="107" spans="1:12" ht="15" customHeight="1" x14ac:dyDescent="0.25">
      <c r="B107" t="str">
        <f>B75</f>
        <v>P6*</v>
      </c>
      <c r="C107" s="7">
        <f>C75</f>
        <v>0.74700852853077271</v>
      </c>
      <c r="D107">
        <f>C75*$C$99+D75*$D$99+E75*$E$99</f>
        <v>0.14219692433693865</v>
      </c>
      <c r="E107">
        <f>C75*$C$100+D75*$D$100+E75*$E$100</f>
        <v>0.53756796944552709</v>
      </c>
      <c r="F107" s="7"/>
      <c r="G107" s="7" t="str">
        <f>G75</f>
        <v>length of vector P5*</v>
      </c>
      <c r="H107">
        <f>H75</f>
        <v>0.99999999999999967</v>
      </c>
      <c r="J107">
        <f>ACOS((C107*C102+D107*D102+E107*E102)/(SQRT(C107^2+D107^2+E107^2)*SQRT(C102^2+D102^2+E102^2)))</f>
        <v>1.5367300307135665</v>
      </c>
      <c r="K107">
        <f t="shared" si="20"/>
        <v>88.048145010896732</v>
      </c>
      <c r="L107" t="s">
        <v>92</v>
      </c>
    </row>
    <row r="108" spans="1:12" ht="15" customHeight="1" x14ac:dyDescent="0.25">
      <c r="B108" s="7"/>
      <c r="C108" s="7"/>
      <c r="D108" s="7"/>
      <c r="E108" s="7"/>
      <c r="G108" s="6"/>
    </row>
    <row r="109" spans="1:12" ht="15" customHeight="1" x14ac:dyDescent="0.25">
      <c r="A109" s="12" t="s">
        <v>72</v>
      </c>
      <c r="B109" t="str">
        <f t="shared" ref="B109:B114" si="21">B90</f>
        <v>P1*-P1</v>
      </c>
      <c r="C109">
        <f t="shared" ref="C109:E114" si="22">C102-C62</f>
        <v>-6.9235134907585927E-4</v>
      </c>
      <c r="D109">
        <f t="shared" si="22"/>
        <v>-1.0540748970733205E-4</v>
      </c>
      <c r="E109">
        <f t="shared" si="22"/>
        <v>2.2287551001805017E-3</v>
      </c>
      <c r="G109" s="6" t="s">
        <v>78</v>
      </c>
      <c r="H109">
        <f t="shared" ref="H109:H114" si="23">SQRT(POWER(C109,2)+POWER(D109,2)+POWER(E109,2))</f>
        <v>2.3361957165516254E-3</v>
      </c>
    </row>
    <row r="110" spans="1:12" ht="15" customHeight="1" x14ac:dyDescent="0.25">
      <c r="B110" t="str">
        <f t="shared" si="21"/>
        <v>P2*-P2</v>
      </c>
      <c r="C110">
        <f t="shared" si="22"/>
        <v>2.1039102373770352E-4</v>
      </c>
      <c r="D110">
        <f t="shared" si="22"/>
        <v>2.5936022161120453E-3</v>
      </c>
      <c r="E110">
        <f t="shared" si="22"/>
        <v>-9.322088516943966E-3</v>
      </c>
      <c r="G110" s="6" t="s">
        <v>78</v>
      </c>
      <c r="H110">
        <f t="shared" si="23"/>
        <v>9.6784487990601714E-3</v>
      </c>
    </row>
    <row r="111" spans="1:12" ht="15" customHeight="1" x14ac:dyDescent="0.25">
      <c r="B111" t="str">
        <f t="shared" si="21"/>
        <v>P3*-P3</v>
      </c>
      <c r="C111">
        <f t="shared" si="22"/>
        <v>-1.0235133073101976E-2</v>
      </c>
      <c r="D111">
        <f t="shared" si="22"/>
        <v>9.9106196114195355E-3</v>
      </c>
      <c r="E111">
        <f t="shared" si="22"/>
        <v>2.2026342416675893E-2</v>
      </c>
      <c r="G111" s="6" t="s">
        <v>78</v>
      </c>
      <c r="H111">
        <f t="shared" si="23"/>
        <v>2.6232386288003139E-2</v>
      </c>
    </row>
    <row r="112" spans="1:12" ht="15" customHeight="1" x14ac:dyDescent="0.25">
      <c r="B112" t="str">
        <f t="shared" si="21"/>
        <v>P4*-P4</v>
      </c>
      <c r="C112">
        <f t="shared" si="22"/>
        <v>6.9235134907608131E-4</v>
      </c>
      <c r="D112">
        <f t="shared" si="22"/>
        <v>1.0540748970702674E-4</v>
      </c>
      <c r="E112">
        <f t="shared" si="22"/>
        <v>2.3244939792517183E-3</v>
      </c>
      <c r="G112" s="6" t="s">
        <v>78</v>
      </c>
      <c r="H112">
        <f t="shared" si="23"/>
        <v>2.427701256133319E-3</v>
      </c>
    </row>
    <row r="113" spans="1:11" ht="15" customHeight="1" x14ac:dyDescent="0.25">
      <c r="B113" t="str">
        <f t="shared" si="21"/>
        <v>P5*-P5</v>
      </c>
      <c r="C113">
        <f t="shared" si="22"/>
        <v>-2.1039102373745372E-4</v>
      </c>
      <c r="D113">
        <f t="shared" si="22"/>
        <v>-2.5936022161120453E-3</v>
      </c>
      <c r="E113">
        <f t="shared" si="22"/>
        <v>2.1559035807958149E-4</v>
      </c>
      <c r="G113" s="6" t="s">
        <v>78</v>
      </c>
      <c r="H113">
        <f t="shared" si="23"/>
        <v>2.6110373495581195E-3</v>
      </c>
    </row>
    <row r="114" spans="1:11" ht="15" customHeight="1" x14ac:dyDescent="0.25">
      <c r="B114" t="str">
        <f t="shared" si="21"/>
        <v>P6*-P6</v>
      </c>
      <c r="C114">
        <f t="shared" si="22"/>
        <v>-7.3900557491299534E-2</v>
      </c>
      <c r="D114">
        <f t="shared" si="22"/>
        <v>-9.9106196114201461E-3</v>
      </c>
      <c r="E114">
        <f t="shared" si="22"/>
        <v>-1.7473093337243895E-2</v>
      </c>
      <c r="G114" s="6" t="s">
        <v>78</v>
      </c>
      <c r="H114">
        <f t="shared" si="23"/>
        <v>7.6582124346215225E-2</v>
      </c>
    </row>
    <row r="115" spans="1:11" ht="15" customHeight="1" x14ac:dyDescent="0.25">
      <c r="B115" s="7"/>
      <c r="G115" s="6"/>
    </row>
    <row r="116" spans="1:11" ht="15" customHeight="1" x14ac:dyDescent="0.25">
      <c r="A116" s="19" t="s">
        <v>322</v>
      </c>
      <c r="B116" s="7" t="s">
        <v>204</v>
      </c>
      <c r="C116">
        <v>0</v>
      </c>
      <c r="D116">
        <v>0</v>
      </c>
      <c r="E116">
        <v>0</v>
      </c>
    </row>
    <row r="117" spans="1:11" ht="15" customHeight="1" x14ac:dyDescent="0.25">
      <c r="B117" t="str">
        <f t="shared" ref="B117:B122" si="24">B102</f>
        <v>P1*</v>
      </c>
      <c r="C117">
        <f>C102*$K$55</f>
        <v>-156.65883097101255</v>
      </c>
      <c r="D117">
        <f t="shared" ref="C117:E122" si="25">D102*$K$55</f>
        <v>41.895946812424533</v>
      </c>
      <c r="E117">
        <f t="shared" si="25"/>
        <v>222.87480587299996</v>
      </c>
      <c r="F117" t="s">
        <v>372</v>
      </c>
      <c r="G117">
        <f>C117-C118</f>
        <v>-141.37682049238174</v>
      </c>
      <c r="H117">
        <f>D117-D118</f>
        <v>-227.56892090608528</v>
      </c>
      <c r="I117">
        <f>E117-E118</f>
        <v>278.78172847314107</v>
      </c>
      <c r="J117" s="59" t="s">
        <v>67</v>
      </c>
      <c r="K117">
        <f>SQRT(POWER(G117,2)+POWER(H117,2)+POWER(I117,2))</f>
        <v>386.64489039086936</v>
      </c>
    </row>
    <row r="118" spans="1:11" ht="15" customHeight="1" x14ac:dyDescent="0.25">
      <c r="B118" t="str">
        <f t="shared" si="24"/>
        <v>P2*</v>
      </c>
      <c r="C118">
        <f t="shared" si="25"/>
        <v>-15.282010478630808</v>
      </c>
      <c r="D118">
        <f t="shared" si="25"/>
        <v>269.46486771850982</v>
      </c>
      <c r="E118">
        <f t="shared" si="25"/>
        <v>-55.906922600141122</v>
      </c>
      <c r="F118" t="s">
        <v>373</v>
      </c>
      <c r="G118">
        <f>C117-G120</f>
        <v>-312.37278999001614</v>
      </c>
      <c r="H118">
        <f>D117-H120</f>
        <v>83.539202443633485</v>
      </c>
      <c r="I118">
        <f>E117-I120</f>
        <v>-0.7083799896740004</v>
      </c>
      <c r="J118" s="59" t="s">
        <v>67</v>
      </c>
      <c r="K118">
        <f>SQRT(POWER(G118,2)+POWER(H118,2)+POWER(I118,2))</f>
        <v>323.35129514705034</v>
      </c>
    </row>
    <row r="119" spans="1:11" ht="15" customHeight="1" x14ac:dyDescent="0.25">
      <c r="B119" t="str">
        <f t="shared" si="24"/>
        <v>P3*</v>
      </c>
      <c r="C119">
        <f t="shared" si="25"/>
        <v>-229.0860826560679</v>
      </c>
      <c r="D119">
        <f t="shared" si="25"/>
        <v>-39.193362131007568</v>
      </c>
      <c r="E119">
        <f t="shared" si="25"/>
        <v>-148.16843750139932</v>
      </c>
    </row>
    <row r="120" spans="1:11" ht="15" customHeight="1" x14ac:dyDescent="0.25">
      <c r="B120" t="s">
        <v>61</v>
      </c>
      <c r="C120">
        <f t="shared" si="25"/>
        <v>156.65883097101263</v>
      </c>
      <c r="D120">
        <f t="shared" si="25"/>
        <v>-41.895946812424576</v>
      </c>
      <c r="E120">
        <f t="shared" si="25"/>
        <v>-222.87480587299984</v>
      </c>
      <c r="F120" t="s">
        <v>190</v>
      </c>
      <c r="G120">
        <f>C120*C82+D120*D82+E120*E82</f>
        <v>155.71395901900362</v>
      </c>
      <c r="H120">
        <f>C120*C83+D120*D83+E120*E83</f>
        <v>-41.643255631208952</v>
      </c>
      <c r="I120">
        <f>C120*C84+D120*D84+E120*E84</f>
        <v>223.58318586267396</v>
      </c>
    </row>
    <row r="121" spans="1:11" ht="15" customHeight="1" x14ac:dyDescent="0.25">
      <c r="B121" t="str">
        <f t="shared" si="24"/>
        <v>P5*</v>
      </c>
      <c r="C121">
        <f t="shared" si="25"/>
        <v>15.282010478630923</v>
      </c>
      <c r="D121">
        <f t="shared" si="25"/>
        <v>-269.46486771850982</v>
      </c>
      <c r="E121">
        <f t="shared" si="25"/>
        <v>55.906922600141058</v>
      </c>
    </row>
    <row r="122" spans="1:11" ht="15" customHeight="1" x14ac:dyDescent="0.25">
      <c r="B122" t="str">
        <f t="shared" si="24"/>
        <v>P6*</v>
      </c>
      <c r="C122">
        <f t="shared" si="25"/>
        <v>205.89598481246523</v>
      </c>
      <c r="D122">
        <f t="shared" si="25"/>
        <v>39.193362131007454</v>
      </c>
      <c r="E122">
        <f t="shared" si="25"/>
        <v>148.16843750139927</v>
      </c>
    </row>
    <row r="123" spans="1:11" ht="15" customHeight="1" x14ac:dyDescent="0.25"/>
    <row r="124" spans="1:11" ht="15" customHeight="1" x14ac:dyDescent="0.25">
      <c r="A124" s="19" t="s">
        <v>323</v>
      </c>
      <c r="B124" t="s">
        <v>204</v>
      </c>
      <c r="C124">
        <f>C116+$C$51</f>
        <v>0</v>
      </c>
      <c r="D124">
        <f>D116+$D$51</f>
        <v>0</v>
      </c>
      <c r="E124">
        <f>E116+$E$51</f>
        <v>377.1275</v>
      </c>
    </row>
    <row r="125" spans="1:11" ht="15" customHeight="1" x14ac:dyDescent="0.25">
      <c r="B125" t="str">
        <f t="shared" ref="B125:B130" si="26">B117</f>
        <v>P1*</v>
      </c>
      <c r="C125">
        <f t="shared" ref="C125:C130" si="27">C117+$C$51</f>
        <v>-156.65883097101255</v>
      </c>
      <c r="D125">
        <f t="shared" ref="D125:D130" si="28">D117+$D$51</f>
        <v>41.895946812424533</v>
      </c>
      <c r="E125">
        <f t="shared" ref="E125:E130" si="29">E117+$E$51</f>
        <v>600.00230587299995</v>
      </c>
    </row>
    <row r="126" spans="1:11" ht="15" customHeight="1" x14ac:dyDescent="0.25">
      <c r="B126" t="str">
        <f t="shared" si="26"/>
        <v>P2*</v>
      </c>
      <c r="C126">
        <f t="shared" si="27"/>
        <v>-15.282010478630808</v>
      </c>
      <c r="D126">
        <f t="shared" si="28"/>
        <v>269.46486771850982</v>
      </c>
      <c r="E126">
        <f t="shared" si="29"/>
        <v>321.22057739985888</v>
      </c>
    </row>
    <row r="127" spans="1:11" ht="15" customHeight="1" x14ac:dyDescent="0.25">
      <c r="B127" t="str">
        <f t="shared" si="26"/>
        <v>P3*</v>
      </c>
      <c r="C127">
        <f t="shared" si="27"/>
        <v>-229.0860826560679</v>
      </c>
      <c r="D127">
        <f t="shared" si="28"/>
        <v>-39.193362131007568</v>
      </c>
      <c r="E127">
        <f t="shared" si="29"/>
        <v>228.95906249860067</v>
      </c>
    </row>
    <row r="128" spans="1:11" ht="15" customHeight="1" x14ac:dyDescent="0.25">
      <c r="B128" t="str">
        <f t="shared" si="26"/>
        <v>P4*</v>
      </c>
      <c r="C128">
        <f t="shared" si="27"/>
        <v>156.65883097101263</v>
      </c>
      <c r="D128">
        <f t="shared" si="28"/>
        <v>-41.895946812424576</v>
      </c>
      <c r="E128">
        <f t="shared" si="29"/>
        <v>154.25269412700015</v>
      </c>
    </row>
    <row r="129" spans="2:5" ht="15" customHeight="1" x14ac:dyDescent="0.25">
      <c r="B129" t="str">
        <f t="shared" si="26"/>
        <v>P5*</v>
      </c>
      <c r="C129">
        <f t="shared" si="27"/>
        <v>15.282010478630923</v>
      </c>
      <c r="D129">
        <f t="shared" si="28"/>
        <v>-269.46486771850982</v>
      </c>
      <c r="E129">
        <f t="shared" si="29"/>
        <v>433.03442260014106</v>
      </c>
    </row>
    <row r="130" spans="2:5" ht="15" customHeight="1" x14ac:dyDescent="0.25">
      <c r="B130" t="str">
        <f t="shared" si="26"/>
        <v>P6*</v>
      </c>
      <c r="C130">
        <f t="shared" si="27"/>
        <v>205.89598481246523</v>
      </c>
      <c r="D130">
        <f t="shared" si="28"/>
        <v>39.193362131007454</v>
      </c>
      <c r="E130">
        <f t="shared" si="29"/>
        <v>525.29593750139929</v>
      </c>
    </row>
    <row r="131" spans="2:5" ht="15" customHeight="1" x14ac:dyDescent="0.25"/>
    <row r="132" spans="2:5" ht="15" customHeight="1" x14ac:dyDescent="0.25"/>
    <row r="133" spans="2:5" ht="15" customHeight="1" x14ac:dyDescent="0.25"/>
    <row r="134" spans="2:5" ht="15" customHeight="1" x14ac:dyDescent="0.25"/>
    <row r="135" spans="2:5" ht="15" customHeight="1" x14ac:dyDescent="0.25"/>
    <row r="136" spans="2:5" ht="15" customHeight="1" x14ac:dyDescent="0.25"/>
    <row r="137" spans="2:5" ht="15" customHeight="1" x14ac:dyDescent="0.25"/>
    <row r="138" spans="2:5" ht="15" customHeight="1" x14ac:dyDescent="0.25"/>
    <row r="139" spans="2:5" ht="15" customHeight="1" x14ac:dyDescent="0.25"/>
    <row r="140" spans="2:5" ht="15" customHeight="1" x14ac:dyDescent="0.25"/>
    <row r="141" spans="2:5" ht="15" customHeight="1" x14ac:dyDescent="0.25"/>
    <row r="142" spans="2:5" ht="15" customHeight="1" x14ac:dyDescent="0.25"/>
    <row r="143" spans="2:5" ht="15" customHeight="1" x14ac:dyDescent="0.25"/>
    <row r="144" spans="2:5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</sheetData>
  <mergeCells count="23">
    <mergeCell ref="D27:F27"/>
    <mergeCell ref="E38:F38"/>
    <mergeCell ref="B2:D2"/>
    <mergeCell ref="F3:G5"/>
    <mergeCell ref="E8:H8"/>
    <mergeCell ref="H20:J21"/>
    <mergeCell ref="D23:F23"/>
    <mergeCell ref="B8:D8"/>
    <mergeCell ref="D19:F19"/>
    <mergeCell ref="G28:H28"/>
    <mergeCell ref="D31:F31"/>
    <mergeCell ref="E35:F36"/>
    <mergeCell ref="A98:A99"/>
    <mergeCell ref="A82:A83"/>
    <mergeCell ref="A86:A87"/>
    <mergeCell ref="H37:J41"/>
    <mergeCell ref="A77:A78"/>
    <mergeCell ref="A43:A44"/>
    <mergeCell ref="G47:H47"/>
    <mergeCell ref="G43:H43"/>
    <mergeCell ref="A37:C38"/>
    <mergeCell ref="E39:F39"/>
    <mergeCell ref="E40:F40"/>
  </mergeCells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7"/>
  <sheetViews>
    <sheetView topLeftCell="A70" workbookViewId="0">
      <selection activeCell="E89" sqref="E89"/>
    </sheetView>
  </sheetViews>
  <sheetFormatPr baseColWidth="10" defaultRowHeight="15" x14ac:dyDescent="0.25"/>
  <cols>
    <col min="1" max="1" width="26.7109375" customWidth="1"/>
    <col min="2" max="12" width="13.7109375" customWidth="1"/>
    <col min="13" max="13" width="12" bestFit="1" customWidth="1"/>
  </cols>
  <sheetData>
    <row r="1" spans="1:11" ht="15" customHeight="1" x14ac:dyDescent="0.25">
      <c r="A1" t="s">
        <v>0</v>
      </c>
    </row>
    <row r="2" spans="1:11" ht="15" customHeight="1" x14ac:dyDescent="0.25">
      <c r="A2" s="29"/>
      <c r="B2" s="69" t="s">
        <v>134</v>
      </c>
      <c r="C2" s="70"/>
      <c r="D2" s="70"/>
    </row>
    <row r="3" spans="1:11" ht="15" customHeight="1" x14ac:dyDescent="0.25">
      <c r="A3" t="s">
        <v>1</v>
      </c>
      <c r="F3" s="75" t="s">
        <v>315</v>
      </c>
      <c r="G3" s="76"/>
    </row>
    <row r="4" spans="1:11" ht="15" customHeight="1" x14ac:dyDescent="0.25">
      <c r="A4" t="s">
        <v>2</v>
      </c>
      <c r="B4" s="1">
        <v>100</v>
      </c>
      <c r="C4" s="43" t="s">
        <v>51</v>
      </c>
      <c r="D4" s="1">
        <v>90</v>
      </c>
      <c r="F4" s="76"/>
      <c r="G4" s="76"/>
    </row>
    <row r="5" spans="1:11" ht="15" customHeight="1" x14ac:dyDescent="0.25">
      <c r="A5" t="s">
        <v>3</v>
      </c>
      <c r="B5" s="1">
        <v>100</v>
      </c>
      <c r="C5" s="43" t="s">
        <v>52</v>
      </c>
      <c r="D5" s="1">
        <v>90</v>
      </c>
      <c r="F5" s="76"/>
      <c r="G5" s="76"/>
    </row>
    <row r="6" spans="1:11" ht="15" customHeight="1" x14ac:dyDescent="0.25">
      <c r="A6" t="s">
        <v>4</v>
      </c>
      <c r="B6" s="1">
        <v>200</v>
      </c>
      <c r="C6" s="43" t="s">
        <v>53</v>
      </c>
      <c r="D6" s="1">
        <v>90</v>
      </c>
    </row>
    <row r="7" spans="1:11" ht="15" customHeight="1" x14ac:dyDescent="0.25"/>
    <row r="8" spans="1:11" ht="15" customHeight="1" x14ac:dyDescent="0.25">
      <c r="B8" s="65" t="s">
        <v>324</v>
      </c>
      <c r="C8" s="65"/>
      <c r="D8" s="65"/>
      <c r="E8" s="77" t="s">
        <v>325</v>
      </c>
      <c r="F8" s="80"/>
      <c r="G8" s="80"/>
      <c r="H8" s="80"/>
    </row>
    <row r="9" spans="1:11" ht="15" customHeight="1" x14ac:dyDescent="0.25">
      <c r="A9" t="s">
        <v>5</v>
      </c>
      <c r="B9" t="s">
        <v>6</v>
      </c>
      <c r="C9" t="s">
        <v>7</v>
      </c>
      <c r="D9" t="s">
        <v>8</v>
      </c>
      <c r="E9" s="12"/>
      <c r="F9" s="12" t="s">
        <v>6</v>
      </c>
      <c r="G9" s="12" t="s">
        <v>7</v>
      </c>
      <c r="H9" s="12" t="s">
        <v>8</v>
      </c>
    </row>
    <row r="10" spans="1:11" ht="15" customHeight="1" x14ac:dyDescent="0.25">
      <c r="A10" t="s">
        <v>96</v>
      </c>
      <c r="B10" s="1">
        <v>0.5</v>
      </c>
      <c r="C10" s="1">
        <v>0.5</v>
      </c>
      <c r="D10" s="1">
        <v>0.5</v>
      </c>
      <c r="E10" s="14" t="s">
        <v>82</v>
      </c>
      <c r="F10" s="12">
        <f t="shared" ref="F10:F16" si="0">C138*$G$52+D138*$H$52+E138*$I$52</f>
        <v>0.50874999999999992</v>
      </c>
      <c r="G10" s="12">
        <f t="shared" ref="G10:G16" si="1">C138*$G$53+D138*$H$53+E138*$I$53</f>
        <v>0.5</v>
      </c>
      <c r="H10" s="12">
        <f t="shared" ref="H10:H16" si="2">C138*$G$54+D138*$H$54+E138*$I$54</f>
        <v>0.49125000000000002</v>
      </c>
    </row>
    <row r="11" spans="1:11" ht="15" customHeight="1" x14ac:dyDescent="0.25">
      <c r="A11" t="s">
        <v>9</v>
      </c>
      <c r="B11" s="1">
        <v>1.01</v>
      </c>
      <c r="C11" s="1">
        <v>0</v>
      </c>
      <c r="D11" s="1">
        <v>1</v>
      </c>
      <c r="E11" s="15" t="s">
        <v>58</v>
      </c>
      <c r="F11" s="28">
        <f t="shared" si="0"/>
        <v>1.01752515191302</v>
      </c>
      <c r="G11" s="28">
        <f t="shared" si="1"/>
        <v>-1.8192309319514484E-4</v>
      </c>
      <c r="H11" s="28">
        <f t="shared" si="2"/>
        <v>0.98265982032764387</v>
      </c>
    </row>
    <row r="12" spans="1:11" ht="15" customHeight="1" x14ac:dyDescent="0.25">
      <c r="A12" t="s">
        <v>10</v>
      </c>
      <c r="B12" s="1">
        <v>1.03</v>
      </c>
      <c r="C12" s="1">
        <v>1</v>
      </c>
      <c r="D12" s="1">
        <v>0.94</v>
      </c>
      <c r="E12" s="15" t="s">
        <v>59</v>
      </c>
      <c r="F12" s="28">
        <f t="shared" si="0"/>
        <v>1.0158391196384631</v>
      </c>
      <c r="G12" s="28">
        <f t="shared" si="1"/>
        <v>1.0027182560613106</v>
      </c>
      <c r="H12" s="28">
        <f t="shared" si="2"/>
        <v>0.98244841643120029</v>
      </c>
      <c r="K12" s="4"/>
    </row>
    <row r="13" spans="1:11" ht="15" customHeight="1" x14ac:dyDescent="0.25">
      <c r="A13" t="s">
        <v>11</v>
      </c>
      <c r="B13" s="22">
        <v>0</v>
      </c>
      <c r="C13" s="23">
        <v>1</v>
      </c>
      <c r="D13" s="23">
        <v>1</v>
      </c>
      <c r="E13" s="24" t="s">
        <v>60</v>
      </c>
      <c r="F13" s="27">
        <f t="shared" si="0"/>
        <v>1.2960599071376141E-2</v>
      </c>
      <c r="G13" s="27">
        <f t="shared" si="1"/>
        <v>1.0010350449141092</v>
      </c>
      <c r="H13" s="27">
        <f t="shared" si="2"/>
        <v>0.98575108977277925</v>
      </c>
      <c r="K13" s="4"/>
    </row>
    <row r="14" spans="1:11" ht="15" customHeight="1" x14ac:dyDescent="0.25">
      <c r="A14" t="s">
        <v>12</v>
      </c>
      <c r="B14" s="1">
        <v>0</v>
      </c>
      <c r="C14" s="1">
        <v>0</v>
      </c>
      <c r="D14" s="1">
        <v>0.99</v>
      </c>
      <c r="E14" s="15" t="s">
        <v>61</v>
      </c>
      <c r="F14" s="28">
        <f t="shared" si="0"/>
        <v>1.4646631345932469E-2</v>
      </c>
      <c r="G14" s="28">
        <f t="shared" si="1"/>
        <v>-1.8651342403965075E-3</v>
      </c>
      <c r="H14" s="28">
        <f t="shared" si="2"/>
        <v>0.98596249366922306</v>
      </c>
    </row>
    <row r="15" spans="1:11" ht="15" customHeight="1" x14ac:dyDescent="0.25">
      <c r="A15" t="s">
        <v>13</v>
      </c>
      <c r="B15" s="1">
        <v>1.05</v>
      </c>
      <c r="C15" s="1">
        <v>0</v>
      </c>
      <c r="D15" s="1">
        <v>0</v>
      </c>
      <c r="E15" s="15" t="s">
        <v>62</v>
      </c>
      <c r="F15" s="28">
        <f t="shared" si="0"/>
        <v>1.0045394009286233</v>
      </c>
      <c r="G15" s="28">
        <f t="shared" si="1"/>
        <v>-1.0350449141085245E-3</v>
      </c>
      <c r="H15" s="28">
        <f t="shared" si="2"/>
        <v>-3.2510897727795651E-3</v>
      </c>
    </row>
    <row r="16" spans="1:11" ht="15" customHeight="1" x14ac:dyDescent="0.25">
      <c r="A16" t="s">
        <v>98</v>
      </c>
      <c r="B16" s="23">
        <v>0.98</v>
      </c>
      <c r="C16" s="23">
        <v>1</v>
      </c>
      <c r="D16" s="23">
        <v>0</v>
      </c>
      <c r="E16" s="16" t="s">
        <v>99</v>
      </c>
      <c r="F16" s="28">
        <f t="shared" si="0"/>
        <v>1.0028533686540668</v>
      </c>
      <c r="G16" s="28">
        <f t="shared" si="1"/>
        <v>1.0018651342403961</v>
      </c>
      <c r="H16" s="28">
        <f t="shared" si="2"/>
        <v>-3.4624936692233634E-3</v>
      </c>
    </row>
    <row r="17" spans="1:10" ht="15" customHeight="1" x14ac:dyDescent="0.25">
      <c r="A17" t="s">
        <v>104</v>
      </c>
      <c r="B17" s="1">
        <v>0</v>
      </c>
      <c r="C17" s="1">
        <v>1</v>
      </c>
      <c r="D17" s="1">
        <v>0</v>
      </c>
      <c r="E17" s="16" t="s">
        <v>110</v>
      </c>
      <c r="F17" s="28">
        <f>C145*$G$52+D145*$H$52+E145*$I$52</f>
        <v>-2.5151913019162604E-5</v>
      </c>
      <c r="G17" s="28">
        <f>C145*$G$53+D145*$H$53+E145*$I$53</f>
        <v>1.0001819230931945</v>
      </c>
      <c r="H17" s="28">
        <f>C145*$G$54+D145*$H$54+E145*$I$54</f>
        <v>-1.5982032764426889E-4</v>
      </c>
    </row>
    <row r="18" spans="1:10" ht="15" customHeight="1" x14ac:dyDescent="0.25">
      <c r="A18" t="s">
        <v>105</v>
      </c>
      <c r="B18" s="1">
        <v>0</v>
      </c>
      <c r="C18" s="1">
        <v>0</v>
      </c>
      <c r="D18" s="1">
        <v>0</v>
      </c>
      <c r="E18" s="16" t="s">
        <v>111</v>
      </c>
      <c r="F18" s="28">
        <f>C146*$G$52+D146*$H$52+E146*$I$52</f>
        <v>1.6608803615372383E-3</v>
      </c>
      <c r="G18" s="28">
        <f>C146*$G$53+D146*$H$53+E146*$I$53</f>
        <v>-2.7182560613099585E-3</v>
      </c>
      <c r="H18" s="28">
        <f>C146*$G$54+D146*$H$54+E146*$I$54</f>
        <v>5.1583568799458133E-5</v>
      </c>
    </row>
    <row r="19" spans="1:10" ht="15" customHeight="1" x14ac:dyDescent="0.25">
      <c r="G19" s="2"/>
    </row>
    <row r="20" spans="1:10" ht="15" customHeight="1" x14ac:dyDescent="0.25"/>
    <row r="21" spans="1:10" ht="15" customHeight="1" x14ac:dyDescent="0.25">
      <c r="A21" t="s">
        <v>57</v>
      </c>
      <c r="B21" t="s">
        <v>17</v>
      </c>
      <c r="D21" s="61" t="s">
        <v>18</v>
      </c>
      <c r="E21" s="61"/>
      <c r="F21" s="61"/>
    </row>
    <row r="22" spans="1:10" ht="15" customHeight="1" x14ac:dyDescent="0.25">
      <c r="A22" t="s">
        <v>19</v>
      </c>
      <c r="B22" s="13">
        <f>H119*100</f>
        <v>2.9220554392533113</v>
      </c>
      <c r="C22" t="s">
        <v>210</v>
      </c>
      <c r="D22" t="s">
        <v>20</v>
      </c>
      <c r="E22" s="3">
        <f>(AVERAGE(B22:B29))</f>
        <v>2.5030820075071154</v>
      </c>
      <c r="F22" t="s">
        <v>210</v>
      </c>
      <c r="H22" s="66" t="s">
        <v>326</v>
      </c>
      <c r="I22" s="66"/>
      <c r="J22" s="66"/>
    </row>
    <row r="23" spans="1:10" ht="15" customHeight="1" x14ac:dyDescent="0.25">
      <c r="A23" t="s">
        <v>22</v>
      </c>
      <c r="B23" s="13">
        <f t="shared" ref="B23:B29" si="3">H120*100</f>
        <v>7.0904804913983366</v>
      </c>
      <c r="C23" t="s">
        <v>210</v>
      </c>
      <c r="D23" t="s">
        <v>23</v>
      </c>
      <c r="E23">
        <f>E22*K61/100</f>
        <v>3.0399501336849357</v>
      </c>
      <c r="F23" t="s">
        <v>24</v>
      </c>
      <c r="H23" s="66"/>
      <c r="I23" s="66"/>
      <c r="J23" s="66"/>
    </row>
    <row r="24" spans="1:10" ht="15" customHeight="1" x14ac:dyDescent="0.25">
      <c r="A24" t="s">
        <v>25</v>
      </c>
      <c r="B24" s="13">
        <f t="shared" si="3"/>
        <v>2.5791801785576602</v>
      </c>
      <c r="C24" t="s">
        <v>210</v>
      </c>
      <c r="H24" t="s">
        <v>56</v>
      </c>
      <c r="I24" s="4" t="s">
        <v>29</v>
      </c>
      <c r="J24" s="4" t="s">
        <v>30</v>
      </c>
    </row>
    <row r="25" spans="1:10" ht="15" customHeight="1" x14ac:dyDescent="0.25">
      <c r="A25" t="s">
        <v>26</v>
      </c>
      <c r="B25" s="13">
        <f t="shared" si="3"/>
        <v>1.3856758793345418</v>
      </c>
      <c r="C25" t="s">
        <v>210</v>
      </c>
      <c r="D25" s="65" t="s">
        <v>207</v>
      </c>
      <c r="E25" s="65"/>
      <c r="F25" s="65"/>
      <c r="H25" s="9" t="s">
        <v>54</v>
      </c>
      <c r="I25" s="5">
        <v>5.655262465131762</v>
      </c>
      <c r="J25">
        <f>DEGREES(I25)</f>
        <v>324.02267129079985</v>
      </c>
    </row>
    <row r="26" spans="1:10" ht="15" customHeight="1" x14ac:dyDescent="0.25">
      <c r="A26" t="s">
        <v>28</v>
      </c>
      <c r="B26" s="13">
        <f t="shared" si="3"/>
        <v>3.7822607398508805</v>
      </c>
      <c r="C26" t="s">
        <v>210</v>
      </c>
      <c r="D26" t="s">
        <v>20</v>
      </c>
      <c r="E26">
        <f>E27/K61*100</f>
        <v>1.6110227524853229</v>
      </c>
      <c r="F26" t="s">
        <v>210</v>
      </c>
      <c r="H26" s="9" t="s">
        <v>55</v>
      </c>
      <c r="I26" s="5">
        <v>2.3647112261985934</v>
      </c>
      <c r="J26">
        <f>DEGREES(I26)</f>
        <v>135.48797302838514</v>
      </c>
    </row>
    <row r="27" spans="1:10" ht="15" customHeight="1" x14ac:dyDescent="0.25">
      <c r="A27" t="s">
        <v>100</v>
      </c>
      <c r="B27" s="13">
        <f t="shared" si="3"/>
        <v>1.9722186839435607</v>
      </c>
      <c r="C27" t="s">
        <v>210</v>
      </c>
      <c r="D27" t="s">
        <v>23</v>
      </c>
      <c r="E27">
        <f>H60</f>
        <v>1.9565594803123161</v>
      </c>
      <c r="F27" t="s">
        <v>24</v>
      </c>
      <c r="H27" s="9" t="s">
        <v>79</v>
      </c>
      <c r="I27" s="5">
        <v>6.2747501917957909</v>
      </c>
      <c r="J27">
        <f>DEGREES(I27)</f>
        <v>359.51670348880265</v>
      </c>
    </row>
    <row r="28" spans="1:10" ht="15" customHeight="1" x14ac:dyDescent="0.25">
      <c r="A28" t="s">
        <v>116</v>
      </c>
      <c r="B28" s="13">
        <f t="shared" si="3"/>
        <v>3.0354032607638408E-2</v>
      </c>
      <c r="C28" t="s">
        <v>210</v>
      </c>
      <c r="H28" s="9" t="s">
        <v>185</v>
      </c>
      <c r="I28" s="5">
        <v>4.3886862440719279</v>
      </c>
      <c r="J28">
        <f>DEGREES(I28)</f>
        <v>251.45319939244257</v>
      </c>
    </row>
    <row r="29" spans="1:10" ht="15" customHeight="1" x14ac:dyDescent="0.25">
      <c r="A29" t="s">
        <v>117</v>
      </c>
      <c r="B29" s="13">
        <f t="shared" si="3"/>
        <v>0.26243061511099286</v>
      </c>
      <c r="C29" t="s">
        <v>210</v>
      </c>
      <c r="D29" s="65" t="s">
        <v>367</v>
      </c>
      <c r="E29" s="65"/>
      <c r="F29" s="65"/>
    </row>
    <row r="30" spans="1:10" ht="15" customHeight="1" x14ac:dyDescent="0.25">
      <c r="D30" t="s">
        <v>20</v>
      </c>
      <c r="E30">
        <f>E31/K61*100</f>
        <v>162.36250580999388</v>
      </c>
      <c r="F30" t="s">
        <v>210</v>
      </c>
      <c r="G30" s="65" t="s">
        <v>368</v>
      </c>
      <c r="H30" s="65"/>
    </row>
    <row r="31" spans="1:10" ht="15" customHeight="1" x14ac:dyDescent="0.25">
      <c r="D31" t="s">
        <v>23</v>
      </c>
      <c r="E31">
        <f>K130</f>
        <v>197.18647641675759</v>
      </c>
      <c r="F31" t="s">
        <v>24</v>
      </c>
      <c r="G31">
        <f>E30/E34</f>
        <v>1.9661595873623845</v>
      </c>
    </row>
    <row r="32" spans="1:10" ht="15" customHeight="1" x14ac:dyDescent="0.25">
      <c r="H32" t="s">
        <v>369</v>
      </c>
    </row>
    <row r="33" spans="1:13" ht="15" customHeight="1" x14ac:dyDescent="0.25">
      <c r="D33" s="65" t="s">
        <v>370</v>
      </c>
      <c r="E33" s="65"/>
      <c r="F33" s="65"/>
      <c r="H33" t="s">
        <v>371</v>
      </c>
    </row>
    <row r="34" spans="1:13" ht="15" customHeight="1" x14ac:dyDescent="0.25">
      <c r="D34" t="s">
        <v>20</v>
      </c>
      <c r="E34">
        <f>E35/K61*100</f>
        <v>82.57849813086851</v>
      </c>
      <c r="F34" t="s">
        <v>210</v>
      </c>
      <c r="H34" t="s">
        <v>379</v>
      </c>
    </row>
    <row r="35" spans="1:13" ht="15" customHeight="1" x14ac:dyDescent="0.25">
      <c r="D35" t="s">
        <v>23</v>
      </c>
      <c r="E35">
        <f>K129</f>
        <v>100.29016855202708</v>
      </c>
      <c r="F35" t="s">
        <v>24</v>
      </c>
    </row>
    <row r="36" spans="1:13" ht="15" customHeight="1" x14ac:dyDescent="0.25">
      <c r="E36" s="56"/>
      <c r="F36" s="56"/>
    </row>
    <row r="37" spans="1:13" ht="15" customHeight="1" x14ac:dyDescent="0.25">
      <c r="E37" s="61" t="s">
        <v>274</v>
      </c>
      <c r="F37" s="61"/>
    </row>
    <row r="38" spans="1:13" ht="15" customHeight="1" x14ac:dyDescent="0.25">
      <c r="E38" s="61"/>
      <c r="F38" s="61"/>
    </row>
    <row r="39" spans="1:13" ht="15" customHeight="1" x14ac:dyDescent="0.25">
      <c r="H39" s="61" t="s">
        <v>235</v>
      </c>
      <c r="I39" s="61"/>
      <c r="J39" s="61"/>
    </row>
    <row r="40" spans="1:13" ht="15" customHeight="1" x14ac:dyDescent="0.25">
      <c r="D40" s="2" t="s">
        <v>14</v>
      </c>
      <c r="E40" s="71" t="s">
        <v>15</v>
      </c>
      <c r="F40" s="71"/>
      <c r="H40" s="61"/>
      <c r="I40" s="61"/>
      <c r="J40" s="61"/>
    </row>
    <row r="41" spans="1:13" ht="15" customHeight="1" x14ac:dyDescent="0.25">
      <c r="A41" s="61" t="s">
        <v>275</v>
      </c>
      <c r="B41" s="61"/>
      <c r="C41" s="61"/>
      <c r="D41" s="2"/>
      <c r="E41" s="72" t="s">
        <v>16</v>
      </c>
      <c r="F41" s="72"/>
      <c r="H41" s="61"/>
      <c r="I41" s="61"/>
      <c r="J41" s="61"/>
    </row>
    <row r="42" spans="1:13" ht="15" customHeight="1" x14ac:dyDescent="0.25">
      <c r="A42" s="61"/>
      <c r="B42" s="61"/>
      <c r="C42" s="61"/>
      <c r="D42" s="2"/>
      <c r="E42" s="73" t="s">
        <v>307</v>
      </c>
      <c r="F42" s="74"/>
      <c r="H42" s="61"/>
      <c r="I42" s="61"/>
      <c r="J42" s="61"/>
      <c r="K42" s="4"/>
    </row>
    <row r="43" spans="1:13" ht="15" customHeight="1" x14ac:dyDescent="0.25">
      <c r="H43" s="61"/>
      <c r="I43" s="61"/>
      <c r="J43" s="61"/>
      <c r="K43" s="4"/>
    </row>
    <row r="44" spans="1:13" ht="15" customHeight="1" x14ac:dyDescent="0.25">
      <c r="H44" s="4"/>
      <c r="I44" s="4"/>
      <c r="J44" s="4"/>
      <c r="K44" s="4"/>
      <c r="L44" s="4"/>
    </row>
    <row r="45" spans="1:13" ht="15" customHeight="1" x14ac:dyDescent="0.25"/>
    <row r="46" spans="1:13" ht="15" customHeight="1" x14ac:dyDescent="0.25"/>
    <row r="47" spans="1:13" ht="15" customHeight="1" x14ac:dyDescent="0.25">
      <c r="A47" s="68" t="s">
        <v>83</v>
      </c>
      <c r="B47" s="7"/>
      <c r="C47" s="8" t="s">
        <v>31</v>
      </c>
      <c r="D47" s="8" t="s">
        <v>32</v>
      </c>
      <c r="E47" s="8" t="s">
        <v>33</v>
      </c>
      <c r="F47" s="8"/>
      <c r="G47" s="61" t="s">
        <v>95</v>
      </c>
      <c r="H47" s="61"/>
    </row>
    <row r="48" spans="1:13" ht="15" customHeight="1" x14ac:dyDescent="0.25">
      <c r="A48" s="68"/>
      <c r="B48" t="s">
        <v>82</v>
      </c>
      <c r="C48">
        <f t="shared" ref="C48:C56" si="4">B10*$G$48+C10*$H$48+D10*$I$48</f>
        <v>50.000000000000007</v>
      </c>
      <c r="D48">
        <f t="shared" ref="D48:D56" si="5">B10*$G$49+C10*$H$49+D10*$I$49</f>
        <v>50.000000000000007</v>
      </c>
      <c r="E48">
        <f t="shared" ref="E48:E56" si="6">B10*$G$50+C10*$H$50+D10*$I$50</f>
        <v>100</v>
      </c>
      <c r="G48">
        <f>B4</f>
        <v>100</v>
      </c>
      <c r="H48">
        <f>B5*(COS(M50))</f>
        <v>6.1257422745431001E-15</v>
      </c>
      <c r="I48">
        <f>B6*(COS(M49))</f>
        <v>1.22514845490862E-14</v>
      </c>
      <c r="K48" t="s">
        <v>51</v>
      </c>
      <c r="L48">
        <f>D4</f>
        <v>90</v>
      </c>
      <c r="M48">
        <f>RADIANS(L48)</f>
        <v>1.5707963267948966</v>
      </c>
    </row>
    <row r="49" spans="1:13" ht="15" customHeight="1" x14ac:dyDescent="0.25">
      <c r="B49" t="str">
        <f t="shared" ref="B49:B56" si="7">A22</f>
        <v>P1</v>
      </c>
      <c r="C49">
        <f t="shared" si="4"/>
        <v>101.00000000000001</v>
      </c>
      <c r="D49">
        <f t="shared" si="5"/>
        <v>1.22514845490862E-14</v>
      </c>
      <c r="E49">
        <f t="shared" si="6"/>
        <v>200</v>
      </c>
      <c r="G49">
        <f>0</f>
        <v>0</v>
      </c>
      <c r="H49">
        <f>B5*(SIN(M50))</f>
        <v>100</v>
      </c>
      <c r="I49">
        <f>(B6*(COS(M48)-COS(M49)*COS(M50)))/(SIN(M50))</f>
        <v>1.22514845490862E-14</v>
      </c>
      <c r="K49" t="s">
        <v>93</v>
      </c>
      <c r="L49">
        <f>D5</f>
        <v>90</v>
      </c>
      <c r="M49">
        <f>RADIANS(L49)</f>
        <v>1.5707963267948966</v>
      </c>
    </row>
    <row r="50" spans="1:13" ht="15" customHeight="1" x14ac:dyDescent="0.25">
      <c r="B50" t="str">
        <f t="shared" si="7"/>
        <v>P2</v>
      </c>
      <c r="C50">
        <f t="shared" si="4"/>
        <v>103.00000000000001</v>
      </c>
      <c r="D50">
        <f t="shared" si="5"/>
        <v>100.00000000000001</v>
      </c>
      <c r="E50">
        <f t="shared" si="6"/>
        <v>188</v>
      </c>
      <c r="G50">
        <f>0</f>
        <v>0</v>
      </c>
      <c r="H50">
        <f>0</f>
        <v>0</v>
      </c>
      <c r="I50">
        <f>B6*(SQRT(1-POWER(COS(M49),2)-(POWER(COS(M48)-(COS(M49)*COS(M50)),2))/(POWER(SIN(M50),2))))</f>
        <v>200</v>
      </c>
      <c r="K50" t="s">
        <v>94</v>
      </c>
      <c r="L50">
        <f>D6</f>
        <v>90</v>
      </c>
      <c r="M50">
        <f>RADIANS(L50)</f>
        <v>1.5707963267948966</v>
      </c>
    </row>
    <row r="51" spans="1:13" ht="15" customHeight="1" x14ac:dyDescent="0.25">
      <c r="B51" t="str">
        <f t="shared" si="7"/>
        <v>P3</v>
      </c>
      <c r="C51">
        <f t="shared" si="4"/>
        <v>1.83772268236293E-14</v>
      </c>
      <c r="D51">
        <f t="shared" si="5"/>
        <v>100.00000000000001</v>
      </c>
      <c r="E51">
        <f t="shared" si="6"/>
        <v>200</v>
      </c>
      <c r="G51" s="65" t="s">
        <v>272</v>
      </c>
      <c r="H51" s="65"/>
    </row>
    <row r="52" spans="1:13" ht="15" customHeight="1" x14ac:dyDescent="0.25">
      <c r="B52" t="str">
        <f t="shared" si="7"/>
        <v>P4</v>
      </c>
      <c r="C52">
        <f t="shared" si="4"/>
        <v>1.2128969703595338E-14</v>
      </c>
      <c r="D52">
        <f t="shared" si="5"/>
        <v>1.2128969703595338E-14</v>
      </c>
      <c r="E52">
        <f t="shared" si="6"/>
        <v>198</v>
      </c>
      <c r="G52" s="6">
        <f>1/G48</f>
        <v>0.01</v>
      </c>
      <c r="H52">
        <f>-H48/(G48*H49)</f>
        <v>-6.1257422745431004E-19</v>
      </c>
      <c r="I52">
        <f>(H48*I49)/(G48*H49*I50)-I48/(G48*I50)</f>
        <v>-6.1257422745431004E-19</v>
      </c>
    </row>
    <row r="53" spans="1:13" ht="15" customHeight="1" x14ac:dyDescent="0.25">
      <c r="B53" t="str">
        <f t="shared" si="7"/>
        <v>P5</v>
      </c>
      <c r="C53">
        <f t="shared" si="4"/>
        <v>105</v>
      </c>
      <c r="D53">
        <f t="shared" si="5"/>
        <v>0</v>
      </c>
      <c r="E53">
        <f t="shared" si="6"/>
        <v>0</v>
      </c>
      <c r="G53" s="6">
        <f>0</f>
        <v>0</v>
      </c>
      <c r="H53" s="6">
        <f>1/H49</f>
        <v>0.01</v>
      </c>
      <c r="I53">
        <f>-I49/(H49*I50)</f>
        <v>-6.1257422745431004E-19</v>
      </c>
    </row>
    <row r="54" spans="1:13" ht="15" customHeight="1" x14ac:dyDescent="0.25">
      <c r="B54" t="str">
        <f t="shared" si="7"/>
        <v>P6</v>
      </c>
      <c r="C54">
        <f t="shared" si="4"/>
        <v>98</v>
      </c>
      <c r="D54">
        <f t="shared" si="5"/>
        <v>100</v>
      </c>
      <c r="E54">
        <f t="shared" si="6"/>
        <v>0</v>
      </c>
      <c r="G54" s="6">
        <f>0</f>
        <v>0</v>
      </c>
      <c r="H54">
        <f>0</f>
        <v>0</v>
      </c>
      <c r="I54" s="6">
        <f>1/I50</f>
        <v>5.0000000000000001E-3</v>
      </c>
    </row>
    <row r="55" spans="1:13" ht="15" customHeight="1" x14ac:dyDescent="0.25">
      <c r="B55" t="str">
        <f t="shared" si="7"/>
        <v>P7</v>
      </c>
      <c r="C55">
        <f t="shared" si="4"/>
        <v>6.1257422745431001E-15</v>
      </c>
      <c r="D55">
        <f t="shared" si="5"/>
        <v>100</v>
      </c>
      <c r="E55">
        <f t="shared" si="6"/>
        <v>0</v>
      </c>
      <c r="G55" s="6"/>
      <c r="I55" s="6"/>
    </row>
    <row r="56" spans="1:13" ht="15" customHeight="1" x14ac:dyDescent="0.25">
      <c r="B56" t="str">
        <f t="shared" si="7"/>
        <v>P8</v>
      </c>
      <c r="C56">
        <f t="shared" si="4"/>
        <v>0</v>
      </c>
      <c r="D56">
        <f t="shared" si="5"/>
        <v>0</v>
      </c>
      <c r="E56">
        <f t="shared" si="6"/>
        <v>0</v>
      </c>
      <c r="G56" s="6"/>
      <c r="I56" s="6"/>
    </row>
    <row r="57" spans="1:13" ht="15" customHeight="1" x14ac:dyDescent="0.25">
      <c r="A57" t="s">
        <v>203</v>
      </c>
      <c r="B57" t="s">
        <v>204</v>
      </c>
      <c r="C57">
        <f>AVERAGE(C49:C56)</f>
        <v>50.875000000000007</v>
      </c>
      <c r="D57">
        <f>AVERAGE(D49:D56)</f>
        <v>50.000000000000007</v>
      </c>
      <c r="E57">
        <f>AVERAGE(E49:E56)</f>
        <v>98.25</v>
      </c>
      <c r="G57" s="6"/>
      <c r="I57" s="6"/>
    </row>
    <row r="58" spans="1:13" ht="15" customHeight="1" x14ac:dyDescent="0.25">
      <c r="G58" s="6"/>
    </row>
    <row r="59" spans="1:13" ht="15" customHeight="1" x14ac:dyDescent="0.25">
      <c r="A59" s="12" t="s">
        <v>84</v>
      </c>
      <c r="G59" s="6"/>
    </row>
    <row r="60" spans="1:13" ht="15" customHeight="1" x14ac:dyDescent="0.25">
      <c r="A60" s="30" t="s">
        <v>211</v>
      </c>
      <c r="B60" t="s">
        <v>208</v>
      </c>
      <c r="C60">
        <f>C48-C$57</f>
        <v>-0.875</v>
      </c>
      <c r="D60">
        <f>D48-D$57</f>
        <v>0</v>
      </c>
      <c r="E60">
        <f>E48-E$57</f>
        <v>1.75</v>
      </c>
      <c r="G60" s="6" t="s">
        <v>209</v>
      </c>
      <c r="H60">
        <f>SQRT(POWER(C60,2)+POWER(D60,2)+POWER(E60,2))</f>
        <v>1.9565594803123161</v>
      </c>
    </row>
    <row r="61" spans="1:13" ht="15" customHeight="1" x14ac:dyDescent="0.25">
      <c r="A61" s="4" t="s">
        <v>212</v>
      </c>
      <c r="B61" s="7" t="s">
        <v>36</v>
      </c>
      <c r="C61">
        <f t="shared" ref="C61:C68" si="8">C49-C$57</f>
        <v>50.125000000000007</v>
      </c>
      <c r="D61">
        <f t="shared" ref="D61:E64" si="9">D49-D$57</f>
        <v>-49.999999999999993</v>
      </c>
      <c r="E61">
        <f t="shared" si="9"/>
        <v>101.75</v>
      </c>
      <c r="G61" s="6" t="s">
        <v>34</v>
      </c>
      <c r="H61">
        <f t="shared" ref="H61:H68" si="10">SQRT(POWER(C61,2)+POWER(D61,2)+POWER(E61,2))</f>
        <v>123.95796918714021</v>
      </c>
      <c r="J61" s="4" t="s">
        <v>314</v>
      </c>
      <c r="K61">
        <f>AVERAGE(H61:H68)</f>
        <v>121.44828353876034</v>
      </c>
    </row>
    <row r="62" spans="1:13" ht="15" customHeight="1" x14ac:dyDescent="0.25">
      <c r="A62" s="4" t="s">
        <v>213</v>
      </c>
      <c r="B62" s="7" t="s">
        <v>39</v>
      </c>
      <c r="C62">
        <f t="shared" si="8"/>
        <v>52.125000000000007</v>
      </c>
      <c r="D62">
        <f t="shared" si="9"/>
        <v>50.000000000000007</v>
      </c>
      <c r="E62">
        <f t="shared" si="9"/>
        <v>89.75</v>
      </c>
      <c r="G62" s="6" t="s">
        <v>37</v>
      </c>
      <c r="H62">
        <f t="shared" si="10"/>
        <v>115.20450566275609</v>
      </c>
      <c r="J62" s="4"/>
    </row>
    <row r="63" spans="1:13" ht="15" customHeight="1" x14ac:dyDescent="0.25">
      <c r="A63" s="4" t="s">
        <v>214</v>
      </c>
      <c r="B63" s="7" t="s">
        <v>42</v>
      </c>
      <c r="C63">
        <f t="shared" si="8"/>
        <v>-50.874999999999986</v>
      </c>
      <c r="D63">
        <f t="shared" si="9"/>
        <v>50.000000000000007</v>
      </c>
      <c r="E63">
        <f t="shared" si="9"/>
        <v>101.75</v>
      </c>
      <c r="G63" s="6" t="s">
        <v>40</v>
      </c>
      <c r="H63">
        <f t="shared" si="10"/>
        <v>124.2631406532122</v>
      </c>
    </row>
    <row r="64" spans="1:13" ht="15" customHeight="1" x14ac:dyDescent="0.25">
      <c r="A64" s="4" t="s">
        <v>215</v>
      </c>
      <c r="B64" s="7" t="s">
        <v>45</v>
      </c>
      <c r="C64">
        <f t="shared" si="8"/>
        <v>-50.874999999999993</v>
      </c>
      <c r="D64">
        <f t="shared" si="9"/>
        <v>-49.999999999999993</v>
      </c>
      <c r="E64">
        <f t="shared" si="9"/>
        <v>99.75</v>
      </c>
      <c r="G64" s="6" t="s">
        <v>43</v>
      </c>
      <c r="H64">
        <f t="shared" si="10"/>
        <v>122.63086122587576</v>
      </c>
    </row>
    <row r="65" spans="1:12" ht="15" customHeight="1" x14ac:dyDescent="0.25">
      <c r="A65" s="4" t="s">
        <v>216</v>
      </c>
      <c r="B65" s="7" t="s">
        <v>48</v>
      </c>
      <c r="C65">
        <f t="shared" si="8"/>
        <v>54.124999999999993</v>
      </c>
      <c r="D65">
        <f t="shared" ref="D65:E68" si="11">D53-D$57</f>
        <v>-50.000000000000007</v>
      </c>
      <c r="E65">
        <f t="shared" si="11"/>
        <v>-98.25</v>
      </c>
      <c r="G65" s="6" t="s">
        <v>46</v>
      </c>
      <c r="H65">
        <f t="shared" si="10"/>
        <v>122.81114821138999</v>
      </c>
    </row>
    <row r="66" spans="1:12" ht="15" customHeight="1" x14ac:dyDescent="0.25">
      <c r="A66" s="4" t="s">
        <v>217</v>
      </c>
      <c r="B66" s="7" t="s">
        <v>102</v>
      </c>
      <c r="C66">
        <f t="shared" si="8"/>
        <v>47.124999999999993</v>
      </c>
      <c r="D66">
        <f t="shared" si="11"/>
        <v>49.999999999999993</v>
      </c>
      <c r="E66">
        <f t="shared" si="11"/>
        <v>-98.25</v>
      </c>
      <c r="G66" s="6" t="s">
        <v>49</v>
      </c>
      <c r="H66">
        <f t="shared" si="10"/>
        <v>119.89090092663412</v>
      </c>
    </row>
    <row r="67" spans="1:12" ht="15" customHeight="1" x14ac:dyDescent="0.25">
      <c r="A67" s="4" t="s">
        <v>218</v>
      </c>
      <c r="B67" s="7" t="s">
        <v>122</v>
      </c>
      <c r="C67">
        <f t="shared" si="8"/>
        <v>-50.875</v>
      </c>
      <c r="D67">
        <f t="shared" si="11"/>
        <v>49.999999999999993</v>
      </c>
      <c r="E67">
        <f t="shared" si="11"/>
        <v>-98.25</v>
      </c>
      <c r="G67" s="6" t="s">
        <v>136</v>
      </c>
      <c r="H67">
        <f t="shared" si="10"/>
        <v>121.41387122153712</v>
      </c>
    </row>
    <row r="68" spans="1:12" ht="15" customHeight="1" x14ac:dyDescent="0.25">
      <c r="A68" s="4" t="s">
        <v>219</v>
      </c>
      <c r="B68" s="7" t="s">
        <v>123</v>
      </c>
      <c r="C68">
        <f t="shared" si="8"/>
        <v>-50.875000000000007</v>
      </c>
      <c r="D68">
        <f t="shared" si="11"/>
        <v>-50.000000000000007</v>
      </c>
      <c r="E68">
        <f t="shared" si="11"/>
        <v>-98.25</v>
      </c>
      <c r="G68" s="6" t="s">
        <v>137</v>
      </c>
      <c r="H68">
        <f t="shared" si="10"/>
        <v>121.41387122153714</v>
      </c>
      <c r="J68" s="4"/>
    </row>
    <row r="69" spans="1:12" ht="15" customHeight="1" x14ac:dyDescent="0.25">
      <c r="J69" s="4"/>
    </row>
    <row r="70" spans="1:12" ht="15" customHeight="1" x14ac:dyDescent="0.25">
      <c r="A70" s="17" t="s">
        <v>157</v>
      </c>
      <c r="B70" s="7" t="str">
        <f t="shared" ref="B70:B75" si="12">B61</f>
        <v>vector P1</v>
      </c>
      <c r="C70">
        <f>C61/$K$61</f>
        <v>0.41272711758007319</v>
      </c>
      <c r="D70">
        <f>D61/$K$61</f>
        <v>-0.4116978728978285</v>
      </c>
      <c r="E70">
        <f>E61/$K$61</f>
        <v>0.83780517134708121</v>
      </c>
      <c r="G70" s="6" t="s">
        <v>34</v>
      </c>
      <c r="H70">
        <f t="shared" ref="H70:H77" si="13">SQRT(POWER(C70,2)+POWER(D70,2)+POWER(E70,2))</f>
        <v>1.0206646448616039</v>
      </c>
      <c r="J70" s="4" t="s">
        <v>314</v>
      </c>
      <c r="K70">
        <f>AVERAGE(H70:H77)</f>
        <v>0.99999999999999989</v>
      </c>
    </row>
    <row r="71" spans="1:12" ht="15" customHeight="1" x14ac:dyDescent="0.25">
      <c r="A71" s="4"/>
      <c r="B71" s="7" t="str">
        <f t="shared" si="12"/>
        <v>vector P2</v>
      </c>
      <c r="C71">
        <f t="shared" ref="C71:E77" si="14">C62/$K$61</f>
        <v>0.42919503249598634</v>
      </c>
      <c r="D71">
        <f t="shared" si="14"/>
        <v>0.41169787289782867</v>
      </c>
      <c r="E71">
        <f t="shared" si="14"/>
        <v>0.73899768185160231</v>
      </c>
      <c r="G71" s="6" t="s">
        <v>37</v>
      </c>
      <c r="H71">
        <f t="shared" si="13"/>
        <v>0.9485889985920507</v>
      </c>
      <c r="J71" s="4"/>
    </row>
    <row r="72" spans="1:12" ht="15" customHeight="1" x14ac:dyDescent="0.25">
      <c r="A72" s="4"/>
      <c r="B72" s="7" t="str">
        <f t="shared" si="12"/>
        <v>vector P3</v>
      </c>
      <c r="C72">
        <f t="shared" si="14"/>
        <v>-0.41890258567354044</v>
      </c>
      <c r="D72">
        <f t="shared" si="14"/>
        <v>0.41169787289782867</v>
      </c>
      <c r="E72">
        <f t="shared" si="14"/>
        <v>0.83780517134708121</v>
      </c>
      <c r="G72" s="6" t="s">
        <v>40</v>
      </c>
      <c r="H72">
        <f t="shared" si="13"/>
        <v>1.0231774137306231</v>
      </c>
    </row>
    <row r="73" spans="1:12" ht="15" customHeight="1" x14ac:dyDescent="0.25">
      <c r="A73" s="4"/>
      <c r="B73" s="7" t="str">
        <f t="shared" si="12"/>
        <v>vector P4</v>
      </c>
      <c r="C73">
        <f t="shared" si="14"/>
        <v>-0.41890258567354055</v>
      </c>
      <c r="D73">
        <f t="shared" si="14"/>
        <v>-0.4116978728978285</v>
      </c>
      <c r="E73">
        <f t="shared" si="14"/>
        <v>0.82133725643116806</v>
      </c>
      <c r="G73" s="6" t="s">
        <v>43</v>
      </c>
      <c r="H73">
        <f t="shared" si="13"/>
        <v>1.0097372943664371</v>
      </c>
    </row>
    <row r="74" spans="1:12" ht="15" customHeight="1" x14ac:dyDescent="0.25">
      <c r="A74" s="4"/>
      <c r="B74" s="7" t="str">
        <f t="shared" si="12"/>
        <v>vector P5</v>
      </c>
      <c r="C74">
        <f t="shared" si="14"/>
        <v>0.44566294741189938</v>
      </c>
      <c r="D74">
        <f t="shared" si="14"/>
        <v>-0.41169787289782867</v>
      </c>
      <c r="E74">
        <f t="shared" si="14"/>
        <v>-0.80898632024423311</v>
      </c>
      <c r="G74" s="6" t="s">
        <v>46</v>
      </c>
      <c r="H74">
        <f t="shared" si="13"/>
        <v>1.0112217697353845</v>
      </c>
    </row>
    <row r="75" spans="1:12" ht="15" customHeight="1" x14ac:dyDescent="0.25">
      <c r="B75" s="7" t="str">
        <f t="shared" si="12"/>
        <v>vector P6</v>
      </c>
      <c r="C75">
        <f t="shared" si="14"/>
        <v>0.38802524520620341</v>
      </c>
      <c r="D75">
        <f t="shared" si="14"/>
        <v>0.4116978728978285</v>
      </c>
      <c r="E75">
        <f t="shared" si="14"/>
        <v>-0.80898632024423311</v>
      </c>
      <c r="G75" s="6" t="s">
        <v>49</v>
      </c>
      <c r="H75">
        <f t="shared" si="13"/>
        <v>0.98717657782599144</v>
      </c>
    </row>
    <row r="76" spans="1:12" ht="15" customHeight="1" x14ac:dyDescent="0.25">
      <c r="B76" s="7" t="str">
        <f>B67</f>
        <v>vector P7</v>
      </c>
      <c r="C76">
        <f t="shared" si="14"/>
        <v>-0.41890258567354061</v>
      </c>
      <c r="D76">
        <f t="shared" si="14"/>
        <v>0.4116978728978285</v>
      </c>
      <c r="E76">
        <f t="shared" si="14"/>
        <v>-0.80898632024423311</v>
      </c>
      <c r="G76" s="6" t="str">
        <f>G67</f>
        <v>length of vector P7</v>
      </c>
      <c r="H76">
        <f t="shared" si="13"/>
        <v>0.9997166504439543</v>
      </c>
    </row>
    <row r="77" spans="1:12" ht="15" customHeight="1" x14ac:dyDescent="0.25">
      <c r="B77" s="7" t="str">
        <f>B68</f>
        <v>vector P8</v>
      </c>
      <c r="C77">
        <f t="shared" si="14"/>
        <v>-0.41890258567354066</v>
      </c>
      <c r="D77">
        <f t="shared" si="14"/>
        <v>-0.41169787289782867</v>
      </c>
      <c r="E77">
        <f t="shared" si="14"/>
        <v>-0.80898632024423311</v>
      </c>
      <c r="G77" s="6" t="str">
        <f>G68</f>
        <v>length of vector P8</v>
      </c>
      <c r="H77">
        <f t="shared" si="13"/>
        <v>0.99971665044395441</v>
      </c>
    </row>
    <row r="78" spans="1:12" ht="15" customHeight="1" x14ac:dyDescent="0.25"/>
    <row r="79" spans="1:12" ht="15" customHeight="1" x14ac:dyDescent="0.25">
      <c r="A79" s="19" t="s">
        <v>327</v>
      </c>
      <c r="B79" s="7"/>
      <c r="C79" t="s">
        <v>63</v>
      </c>
      <c r="D79" t="s">
        <v>64</v>
      </c>
      <c r="E79" t="s">
        <v>65</v>
      </c>
      <c r="J79" t="s">
        <v>87</v>
      </c>
      <c r="K79" t="s">
        <v>88</v>
      </c>
    </row>
    <row r="80" spans="1:12" ht="15" customHeight="1" x14ac:dyDescent="0.25">
      <c r="B80" s="7" t="str">
        <f t="shared" ref="B80:B87" si="15">E11</f>
        <v>P1*</v>
      </c>
      <c r="C80">
        <f>SIN($I$25)*COS($I$26)</f>
        <v>0.41892329565171987</v>
      </c>
      <c r="D80">
        <f>SIN($I$25)*SIN($I$26)</f>
        <v>-0.4118476675988274</v>
      </c>
      <c r="E80">
        <f>COS($I$25)</f>
        <v>0.80924951099998044</v>
      </c>
      <c r="G80" s="6" t="s">
        <v>66</v>
      </c>
      <c r="H80">
        <f t="shared" ref="H80:H87" si="16">SQRT(POWER(C80,2)+POWER(D80,2)+POWER(E80,2))</f>
        <v>1</v>
      </c>
      <c r="I80" s="6"/>
      <c r="J80">
        <f>ACOS((C80*C81+D80*D81+E80*E81)/(SQRT(C80^2+D80^2+E80^2)*SQRT(C81^2+D81^2+E81^2)))</f>
        <v>0.85125524884268666</v>
      </c>
      <c r="K80">
        <f t="shared" ref="K80:K87" si="17">DEGREES(J80)</f>
        <v>48.773333047044602</v>
      </c>
      <c r="L80" t="s">
        <v>80</v>
      </c>
    </row>
    <row r="81" spans="1:15" ht="15" customHeight="1" x14ac:dyDescent="0.25">
      <c r="B81" s="7" t="str">
        <f t="shared" si="15"/>
        <v>P2*</v>
      </c>
      <c r="C81">
        <f>C$92*C80+D$92*D80+E$92*E80</f>
        <v>0.41189437491173247</v>
      </c>
      <c r="D81">
        <f>C$93*C80+D$93*D80+E$93*E80</f>
        <v>0.41390344523783079</v>
      </c>
      <c r="E81">
        <f>C$94*C80+D$94*D80+E$94*E80</f>
        <v>0.81180475604441193</v>
      </c>
      <c r="G81" s="6" t="s">
        <v>67</v>
      </c>
      <c r="H81">
        <f t="shared" si="16"/>
        <v>1</v>
      </c>
      <c r="J81">
        <f>ACOS((C81*C82+D81*D82+E81*E82)/(SQRT(C81^2+D81^2+E81^2)*SQRT(C82^2+D82^2+E82^2)))</f>
        <v>0.85125524884268666</v>
      </c>
      <c r="K81">
        <f t="shared" si="17"/>
        <v>48.773333047044602</v>
      </c>
      <c r="L81" t="s">
        <v>81</v>
      </c>
    </row>
    <row r="82" spans="1:15" ht="15" customHeight="1" x14ac:dyDescent="0.25">
      <c r="B82" s="7" t="str">
        <f t="shared" si="15"/>
        <v>P3*</v>
      </c>
      <c r="C82">
        <f>C$92*C81+D$92*D81+E$92*E81</f>
        <v>-0.41385667058569603</v>
      </c>
      <c r="D82">
        <f>C$93*C81+D$93*D81+E$93*E81</f>
        <v>0.40686661799452362</v>
      </c>
      <c r="E82">
        <f>C$94*C81+D$94*D81+E$94*E81</f>
        <v>0.81436000108884343</v>
      </c>
      <c r="G82" s="6" t="s">
        <v>68</v>
      </c>
      <c r="H82">
        <f t="shared" si="16"/>
        <v>1</v>
      </c>
      <c r="J82">
        <f>ACOS((C82*C80+D82*D80+E82*E80)/(SQRT(C82^2+D82^2+E82^2)*SQRT(C80^2+D80^2+E80^2)))</f>
        <v>1.2470935904821356</v>
      </c>
      <c r="K82">
        <f t="shared" si="17"/>
        <v>71.453199392442627</v>
      </c>
      <c r="L82" t="s">
        <v>89</v>
      </c>
    </row>
    <row r="83" spans="1:15" ht="15" customHeight="1" x14ac:dyDescent="0.25">
      <c r="B83" s="7" t="str">
        <f t="shared" si="15"/>
        <v>P4*</v>
      </c>
      <c r="C83">
        <f>C$92*C82+D$92*D82+E$92*E82</f>
        <v>-0.4068277498457088</v>
      </c>
      <c r="D83">
        <f>C$93*C82+D$93*D82+E$93*E82</f>
        <v>-0.41888449484213447</v>
      </c>
      <c r="E83">
        <f>C$94*C82+D$94*D82+E$94*E82</f>
        <v>0.81180475604441205</v>
      </c>
      <c r="G83" s="6" t="s">
        <v>69</v>
      </c>
      <c r="H83">
        <f>SQRT(POWER(C83,2)+POWER(D83,2)+POWER(E83,2))</f>
        <v>1</v>
      </c>
      <c r="J83">
        <f>ACOS((C83*C84+D83*D84+E83*E84)/(SQRT(C83^2+D83^2+E83^2)*SQRT(C84^2+D84^2+E84^2)))</f>
        <v>2.2903374047471075</v>
      </c>
      <c r="K83">
        <f t="shared" si="17"/>
        <v>131.22666695295547</v>
      </c>
      <c r="L83" t="s">
        <v>90</v>
      </c>
    </row>
    <row r="84" spans="1:15" ht="15" customHeight="1" x14ac:dyDescent="0.25">
      <c r="B84" s="7" t="str">
        <f t="shared" si="15"/>
        <v>P5*</v>
      </c>
      <c r="C84">
        <f>SIN($I$25+I28)*COS($I$26)</f>
        <v>0.41385667058569559</v>
      </c>
      <c r="D84">
        <f>SIN($I$25+I28)*SIN($I$26)</f>
        <v>-0.40686661799452306</v>
      </c>
      <c r="E84">
        <f>COS($I$25+I28)</f>
        <v>-0.81436000108884399</v>
      </c>
      <c r="G84" s="6" t="s">
        <v>70</v>
      </c>
      <c r="H84">
        <f t="shared" si="16"/>
        <v>1</v>
      </c>
      <c r="J84">
        <f>ACOS((C84*C85+D84*D85+E84*E85)/(SQRT(C84^2+D84^2+E84^2)*SQRT(C85^2+D85^2+E85^2)))</f>
        <v>0.85125524884268511</v>
      </c>
      <c r="K84">
        <f t="shared" si="17"/>
        <v>48.77333304704451</v>
      </c>
      <c r="L84" t="s">
        <v>91</v>
      </c>
    </row>
    <row r="85" spans="1:15" ht="15" customHeight="1" x14ac:dyDescent="0.25">
      <c r="B85" s="7" t="str">
        <f t="shared" si="15"/>
        <v>P6*</v>
      </c>
      <c r="C85">
        <f>C$92*C84+D$92*D84+E$92*E84</f>
        <v>0.40682774984570824</v>
      </c>
      <c r="D85">
        <f>C$93*C84+D$93*D84+E$93*E84</f>
        <v>0.41888449484213403</v>
      </c>
      <c r="E85">
        <f>C$94*C84+D$94*D84+E$94*E84</f>
        <v>-0.8118047560444126</v>
      </c>
      <c r="G85" s="6" t="s">
        <v>71</v>
      </c>
      <c r="H85">
        <f t="shared" si="16"/>
        <v>1</v>
      </c>
      <c r="J85">
        <f>ACOS((C85*C80+D85*D80+E85*E80)/(SQRT(C85^2+D85^2+E85^2)*SQRT(C80^2+D80^2+E80^2)))</f>
        <v>2.290337404747107</v>
      </c>
      <c r="K85">
        <f t="shared" si="17"/>
        <v>131.22666695295544</v>
      </c>
      <c r="L85" t="s">
        <v>92</v>
      </c>
    </row>
    <row r="86" spans="1:15" ht="15" customHeight="1" x14ac:dyDescent="0.25">
      <c r="B86" s="7" t="str">
        <f t="shared" si="15"/>
        <v>P7*</v>
      </c>
      <c r="C86">
        <f>C$92*C85+D$92*D85+E$92*E85</f>
        <v>-0.41892329565171926</v>
      </c>
      <c r="D86">
        <f>C$93*C85+D$93*D85+E$93*E85</f>
        <v>0.41184766759882696</v>
      </c>
      <c r="E86">
        <f>C$94*C85+D$94*D85+E$94*E85</f>
        <v>-0.8092495109999811</v>
      </c>
      <c r="G86" s="6" t="s">
        <v>143</v>
      </c>
      <c r="H86">
        <f t="shared" si="16"/>
        <v>1</v>
      </c>
      <c r="J86">
        <f>ACOS((C86*C87+D86*D87+E86*E87)/(SQRT(C86^2+D86^2+E86^2)*SQRT(C87^2+D87^2+E87^2)))</f>
        <v>0.85125524884268533</v>
      </c>
      <c r="K86">
        <f t="shared" si="17"/>
        <v>48.773333047044524</v>
      </c>
      <c r="L86" t="s">
        <v>151</v>
      </c>
    </row>
    <row r="87" spans="1:15" ht="15" customHeight="1" x14ac:dyDescent="0.25">
      <c r="B87" s="7" t="str">
        <f t="shared" si="15"/>
        <v>P8*</v>
      </c>
      <c r="C87">
        <f>C$92*C86+D$92*D86+E$92*E86</f>
        <v>-0.41189437491173203</v>
      </c>
      <c r="D87">
        <f>C$93*C86+D$93*D86+E$93*E86</f>
        <v>-0.41390344523783018</v>
      </c>
      <c r="E87">
        <f>C$94*C86+D$94*D86+E$94*E86</f>
        <v>-0.8118047560444126</v>
      </c>
      <c r="G87" s="6" t="s">
        <v>144</v>
      </c>
      <c r="H87">
        <f t="shared" si="16"/>
        <v>1</v>
      </c>
      <c r="J87" t="e">
        <f>ACOS((C87*C88+D87*D88+E87*E88)/(SQRT(C87^2+D87^2+E87^2)*SQRT(C88^2+D88^2+E88^2)))</f>
        <v>#DIV/0!</v>
      </c>
      <c r="K87" t="e">
        <f t="shared" si="17"/>
        <v>#DIV/0!</v>
      </c>
      <c r="L87" t="s">
        <v>168</v>
      </c>
    </row>
    <row r="88" spans="1:15" ht="15" customHeight="1" x14ac:dyDescent="0.25">
      <c r="B88" s="7"/>
      <c r="G88" s="6"/>
    </row>
    <row r="89" spans="1:15" ht="15" customHeight="1" x14ac:dyDescent="0.25">
      <c r="A89" s="67" t="s">
        <v>308</v>
      </c>
      <c r="B89" s="7" t="s">
        <v>187</v>
      </c>
      <c r="C89">
        <f>SIN($I$25-(PI()-I28)/2)*COS($I$26)</f>
        <v>3.1205634827741638E-3</v>
      </c>
      <c r="D89">
        <f>SIN($I$25-((PI()-I28)/2))*SIN($I$26)</f>
        <v>-3.0678570643230276E-3</v>
      </c>
      <c r="E89">
        <f>COS($I$25-((PI()-I28)/2))</f>
        <v>0.99999042512245229</v>
      </c>
      <c r="G89" s="6"/>
      <c r="O89" s="6"/>
    </row>
    <row r="90" spans="1:15" ht="15" customHeight="1" x14ac:dyDescent="0.25">
      <c r="A90" s="68"/>
      <c r="B90" s="7"/>
      <c r="G90" s="6"/>
    </row>
    <row r="91" spans="1:15" ht="15" customHeight="1" x14ac:dyDescent="0.25">
      <c r="B91" s="7"/>
      <c r="G91" s="6"/>
    </row>
    <row r="92" spans="1:15" ht="15" customHeight="1" x14ac:dyDescent="0.25">
      <c r="A92" s="67" t="s">
        <v>180</v>
      </c>
      <c r="C92">
        <f>(C89^2)*(1-COS(G93))+COS(G93)</f>
        <v>9.7379164500848741E-6</v>
      </c>
      <c r="D92">
        <f>C89*D89*(1-COS(G93))-E89*SIN(G93)</f>
        <v>-0.99999999856517763</v>
      </c>
      <c r="E92">
        <f>C89*E89*(1-COS(G93))+D89*SIN(G93)</f>
        <v>5.2676539437908169E-5</v>
      </c>
      <c r="G92" s="6" t="s">
        <v>189</v>
      </c>
      <c r="H92" t="s">
        <v>188</v>
      </c>
    </row>
    <row r="93" spans="1:15" ht="15" customHeight="1" x14ac:dyDescent="0.25">
      <c r="A93" s="68"/>
      <c r="B93" t="s">
        <v>365</v>
      </c>
      <c r="C93">
        <f>D89*C89*(1-COS(G93))+E89*SIN(G93)</f>
        <v>0.99998085167972695</v>
      </c>
      <c r="D93">
        <f>(D89^2)*(1-COS(G93))+COS(G93)</f>
        <v>9.4117469671779615E-6</v>
      </c>
      <c r="E93">
        <f>D89*E89*(1-COS(G93))-C89*SIN(G93)</f>
        <v>-6.1883911727414666E-3</v>
      </c>
      <c r="G93" s="6">
        <f>RADIANS(H93)</f>
        <v>1.5707963267948966</v>
      </c>
      <c r="H93">
        <v>90</v>
      </c>
    </row>
    <row r="94" spans="1:15" ht="15" customHeight="1" x14ac:dyDescent="0.25">
      <c r="C94">
        <f>E89*C89*(1-COS(G93))-D89*SIN(G93)</f>
        <v>6.1883906680839634E-3</v>
      </c>
      <c r="D94">
        <f>D89*E89*(1-COS(G93))+C89*SIN(G93)</f>
        <v>5.2735792806861328E-5</v>
      </c>
      <c r="E94">
        <f>(E89^2)*(1-COS(G93))+COS(G93)</f>
        <v>0.9999808503365829</v>
      </c>
      <c r="G94" s="6"/>
    </row>
    <row r="95" spans="1:15" ht="15" customHeight="1" x14ac:dyDescent="0.25"/>
    <row r="96" spans="1:15" ht="15" customHeight="1" x14ac:dyDescent="0.25">
      <c r="A96" s="12" t="s">
        <v>86</v>
      </c>
      <c r="B96" s="7" t="s">
        <v>73</v>
      </c>
      <c r="C96">
        <f t="shared" ref="C96:E97" si="18">C80-C70</f>
        <v>6.1961780716466852E-3</v>
      </c>
      <c r="D96">
        <f t="shared" si="18"/>
        <v>-1.4979470099890646E-4</v>
      </c>
      <c r="E96">
        <f t="shared" si="18"/>
        <v>-2.8555660347100775E-2</v>
      </c>
      <c r="G96" s="6" t="s">
        <v>78</v>
      </c>
      <c r="H96">
        <f t="shared" ref="H96:H103" si="19">SQRT(POWER(C96,2)+POWER(D96,2)+POWER(E96,2))</f>
        <v>2.9220554392533113E-2</v>
      </c>
    </row>
    <row r="97" spans="1:12" ht="15" customHeight="1" x14ac:dyDescent="0.25">
      <c r="B97" s="7" t="s">
        <v>74</v>
      </c>
      <c r="C97">
        <f t="shared" si="18"/>
        <v>-1.7300657584253865E-2</v>
      </c>
      <c r="D97">
        <f t="shared" si="18"/>
        <v>2.2055723400021265E-3</v>
      </c>
      <c r="E97">
        <f t="shared" si="18"/>
        <v>7.2807074192809629E-2</v>
      </c>
      <c r="G97" s="6" t="s">
        <v>78</v>
      </c>
      <c r="H97">
        <f t="shared" si="19"/>
        <v>7.4866864197132427E-2</v>
      </c>
    </row>
    <row r="98" spans="1:12" ht="15" customHeight="1" x14ac:dyDescent="0.25">
      <c r="B98" s="7" t="s">
        <v>75</v>
      </c>
      <c r="C98">
        <f t="shared" ref="C98:E103" si="20">C82-C72</f>
        <v>5.0459150878444103E-3</v>
      </c>
      <c r="D98">
        <f t="shared" si="20"/>
        <v>-4.8312549033050489E-3</v>
      </c>
      <c r="E98">
        <f t="shared" si="20"/>
        <v>-2.344517025823778E-2</v>
      </c>
      <c r="G98" s="6" t="s">
        <v>78</v>
      </c>
      <c r="H98">
        <f t="shared" si="19"/>
        <v>2.4463815962604898E-2</v>
      </c>
    </row>
    <row r="99" spans="1:12" ht="15" customHeight="1" x14ac:dyDescent="0.25">
      <c r="B99" s="7" t="s">
        <v>76</v>
      </c>
      <c r="C99">
        <f t="shared" si="20"/>
        <v>1.2074835827831754E-2</v>
      </c>
      <c r="D99">
        <f t="shared" si="20"/>
        <v>-7.1866219443059709E-3</v>
      </c>
      <c r="E99">
        <f t="shared" si="20"/>
        <v>-9.5325003867560154E-3</v>
      </c>
      <c r="G99" s="6" t="s">
        <v>78</v>
      </c>
      <c r="H99">
        <f t="shared" si="19"/>
        <v>1.6979922227824632E-2</v>
      </c>
    </row>
    <row r="100" spans="1:12" ht="15" customHeight="1" x14ac:dyDescent="0.25">
      <c r="B100" s="7" t="s">
        <v>77</v>
      </c>
      <c r="C100">
        <f t="shared" si="20"/>
        <v>-3.1806276826203794E-2</v>
      </c>
      <c r="D100">
        <f t="shared" si="20"/>
        <v>4.831254903305604E-3</v>
      </c>
      <c r="E100">
        <f t="shared" si="20"/>
        <v>-5.373680844610873E-3</v>
      </c>
      <c r="G100" s="6" t="s">
        <v>78</v>
      </c>
      <c r="H100">
        <f t="shared" si="19"/>
        <v>3.2616816449579512E-2</v>
      </c>
    </row>
    <row r="101" spans="1:12" ht="15" customHeight="1" x14ac:dyDescent="0.25">
      <c r="B101" s="7" t="s">
        <v>103</v>
      </c>
      <c r="C101">
        <f t="shared" si="20"/>
        <v>1.8802504639504836E-2</v>
      </c>
      <c r="D101">
        <f t="shared" si="20"/>
        <v>7.1866219443055268E-3</v>
      </c>
      <c r="E101">
        <f t="shared" si="20"/>
        <v>-2.8184358001794863E-3</v>
      </c>
      <c r="G101" s="6" t="s">
        <v>78</v>
      </c>
      <c r="H101">
        <f t="shared" si="19"/>
        <v>2.0325483906876805E-2</v>
      </c>
    </row>
    <row r="102" spans="1:12" ht="15" customHeight="1" x14ac:dyDescent="0.25">
      <c r="B102" s="7" t="s">
        <v>170</v>
      </c>
      <c r="C102">
        <f t="shared" si="20"/>
        <v>-2.0709978178656829E-5</v>
      </c>
      <c r="D102">
        <f t="shared" si="20"/>
        <v>1.4979470099846237E-4</v>
      </c>
      <c r="E102">
        <f t="shared" si="20"/>
        <v>-2.6319075574798845E-4</v>
      </c>
      <c r="G102" s="6" t="s">
        <v>78</v>
      </c>
      <c r="H102">
        <f t="shared" si="19"/>
        <v>3.0354032607641526E-4</v>
      </c>
    </row>
    <row r="103" spans="1:12" ht="15" customHeight="1" x14ac:dyDescent="0.25">
      <c r="B103" s="7" t="s">
        <v>171</v>
      </c>
      <c r="C103">
        <f t="shared" si="20"/>
        <v>7.0082107618086309E-3</v>
      </c>
      <c r="D103">
        <f t="shared" si="20"/>
        <v>-2.2055723400015159E-3</v>
      </c>
      <c r="E103">
        <f t="shared" si="20"/>
        <v>-2.8184358001794863E-3</v>
      </c>
      <c r="G103" s="6" t="s">
        <v>78</v>
      </c>
      <c r="H103">
        <f t="shared" si="19"/>
        <v>7.8691262404820689E-3</v>
      </c>
    </row>
    <row r="104" spans="1:12" ht="15" customHeight="1" x14ac:dyDescent="0.25"/>
    <row r="105" spans="1:12" ht="15" customHeight="1" x14ac:dyDescent="0.25"/>
    <row r="106" spans="1:12" ht="15" customHeight="1" x14ac:dyDescent="0.25">
      <c r="A106" s="67" t="s">
        <v>162</v>
      </c>
      <c r="C106">
        <f>(C80^2)*(1-COS($I$27))+COS($I$27)</f>
        <v>0.99997066798703516</v>
      </c>
      <c r="D106">
        <f>C80*D80*(1-COS($I$27))-E80*SIN($I$27)</f>
        <v>6.819894140913654E-3</v>
      </c>
      <c r="E106">
        <f>C80*E80*(1-COS($I$27))+D80*SIN($I$27)</f>
        <v>3.4860019319129117E-3</v>
      </c>
    </row>
    <row r="107" spans="1:12" ht="15" customHeight="1" x14ac:dyDescent="0.25">
      <c r="A107" s="68"/>
      <c r="B107" t="s">
        <v>237</v>
      </c>
      <c r="C107">
        <f>D80*C80*(1-COS($I$27))+E80*SIN($I$27)</f>
        <v>-6.8321699634800136E-3</v>
      </c>
      <c r="D107">
        <f>(D80^2)*(1-COS($I$27))+COS($I$27)</f>
        <v>0.99997045886693003</v>
      </c>
      <c r="E107">
        <f>D80*E80*(1-COS($I$27))-C80*SIN($I$27)</f>
        <v>3.5217676032685556E-3</v>
      </c>
    </row>
    <row r="108" spans="1:12" ht="15" customHeight="1" x14ac:dyDescent="0.25">
      <c r="C108">
        <f>E80*C80*(1-COS($I$27))-D80*SIN($I$27)</f>
        <v>-3.4618808692227477E-3</v>
      </c>
      <c r="D108">
        <f>D80*E80*(1-COS($I$27))+C80*SIN($I$27)</f>
        <v>-3.5454812604274262E-3</v>
      </c>
      <c r="E108">
        <f>(E80^2)*(1-COS($I$27))+COS($I$27)</f>
        <v>0.99998772239636979</v>
      </c>
    </row>
    <row r="109" spans="1:12" ht="15" customHeight="1" x14ac:dyDescent="0.25">
      <c r="J109" t="s">
        <v>87</v>
      </c>
      <c r="K109" t="s">
        <v>88</v>
      </c>
    </row>
    <row r="110" spans="1:12" ht="15" customHeight="1" x14ac:dyDescent="0.25">
      <c r="A110" s="19" t="s">
        <v>339</v>
      </c>
      <c r="B110" t="str">
        <f>B80</f>
        <v>P1*</v>
      </c>
      <c r="C110">
        <f>C80</f>
        <v>0.41892329565171987</v>
      </c>
      <c r="D110">
        <f>D80</f>
        <v>-0.4118476675988274</v>
      </c>
      <c r="E110">
        <f>E80</f>
        <v>0.80924951099998044</v>
      </c>
      <c r="G110" t="str">
        <f>G80</f>
        <v>length of vector P0*</v>
      </c>
      <c r="H110">
        <f>H80</f>
        <v>1</v>
      </c>
      <c r="J110">
        <f>ACOS((C110*C111+D110*D111+E110*E111)/(SQRT(C110^2+D110^2+E110^2)*SQRT(C111^2+D111^2+E111^2)))</f>
        <v>0.85125524884268666</v>
      </c>
      <c r="K110">
        <f t="shared" ref="K110:K117" si="21">DEGREES(J110)</f>
        <v>48.773333047044602</v>
      </c>
      <c r="L110" t="s">
        <v>80</v>
      </c>
    </row>
    <row r="111" spans="1:12" ht="15" customHeight="1" x14ac:dyDescent="0.25">
      <c r="B111" t="str">
        <f t="shared" ref="B111:B117" si="22">B81</f>
        <v>P2*</v>
      </c>
      <c r="C111">
        <f>C81*$C$106+D81*$D$106+E81*$E$106</f>
        <v>0.41753502384957575</v>
      </c>
      <c r="D111">
        <f>C81*$C$107+D81*$D$107+E81*$E$107</f>
        <v>0.41393607337469512</v>
      </c>
      <c r="E111">
        <f>C81*$C$108+D81*$D$108+E81*$E$108</f>
        <v>0.80890137286202768</v>
      </c>
      <c r="G111" s="6" t="s">
        <v>67</v>
      </c>
      <c r="H111">
        <f t="shared" ref="H111:H117" si="23">SQRT(POWER(C111,2)+POWER(D111,2)+POWER(E111,2))</f>
        <v>1</v>
      </c>
      <c r="J111">
        <f>ACOS((C111*C112+D111*D112+E111*E112)/(SQRT(C111^2+D111^2+E111^2)*SQRT(C112^2+D112^2+E112^2)))</f>
        <v>0.85125524884268666</v>
      </c>
      <c r="K111">
        <f t="shared" si="21"/>
        <v>48.773333047044602</v>
      </c>
      <c r="L111" t="s">
        <v>81</v>
      </c>
    </row>
    <row r="112" spans="1:12" ht="15" customHeight="1" x14ac:dyDescent="0.25">
      <c r="B112" t="str">
        <f t="shared" si="22"/>
        <v>P3*</v>
      </c>
      <c r="C112">
        <f t="shared" ref="C112:C117" si="24">C82*$C$106+D82*$D$106+E82*$E$106</f>
        <v>-0.40823088353520626</v>
      </c>
      <c r="D112">
        <f t="shared" ref="D112:D117" si="25">C82*$C$107+D82*$D$107+E82*$E$107</f>
        <v>0.41255012447681361</v>
      </c>
      <c r="E112">
        <f t="shared" ref="E112:E117" si="26">C82*$C$108+D82*$D$108+E82*$E$108</f>
        <v>0.81434018722044554</v>
      </c>
      <c r="G112" s="6" t="s">
        <v>68</v>
      </c>
      <c r="H112">
        <f t="shared" si="23"/>
        <v>1</v>
      </c>
      <c r="J112">
        <f>ACOS((C112*C113+D112*D113+E112*E113)/(SQRT(C112^2+D112^2+E112^2)*SQRT(C113^2+D113^2+E113^2)))</f>
        <v>0.85125524884268666</v>
      </c>
      <c r="K112">
        <f t="shared" si="21"/>
        <v>48.773333047044602</v>
      </c>
      <c r="L112" t="s">
        <v>89</v>
      </c>
    </row>
    <row r="113" spans="1:12" ht="15" customHeight="1" x14ac:dyDescent="0.25">
      <c r="B113" t="str">
        <f t="shared" si="22"/>
        <v>P4*</v>
      </c>
      <c r="C113">
        <f t="shared" si="24"/>
        <v>-0.40684261173306241</v>
      </c>
      <c r="D113">
        <f t="shared" si="25"/>
        <v>-0.41323361649670887</v>
      </c>
      <c r="E113">
        <f t="shared" si="26"/>
        <v>0.81468832535839841</v>
      </c>
      <c r="G113" s="6" t="s">
        <v>69</v>
      </c>
      <c r="H113">
        <f t="shared" si="23"/>
        <v>1</v>
      </c>
      <c r="J113">
        <f>ACOS((C113*C114+D113*D114+E113*E114)/(SQRT(C113^2+D113^2+E113^2)*SQRT(C114^2+D114^2+E114^2)))</f>
        <v>2.290337404747107</v>
      </c>
      <c r="K113">
        <f>DEGREES(J113)</f>
        <v>131.22666695295544</v>
      </c>
      <c r="L113" t="s">
        <v>90</v>
      </c>
    </row>
    <row r="114" spans="1:12" ht="15" customHeight="1" x14ac:dyDescent="0.25">
      <c r="B114" t="str">
        <f t="shared" si="22"/>
        <v>P5*</v>
      </c>
      <c r="C114">
        <f t="shared" si="24"/>
        <v>0.40823088353520581</v>
      </c>
      <c r="D114">
        <f t="shared" si="25"/>
        <v>-0.41255012447681305</v>
      </c>
      <c r="E114">
        <f t="shared" si="26"/>
        <v>-0.8143401872204461</v>
      </c>
      <c r="G114" s="6" t="s">
        <v>70</v>
      </c>
      <c r="H114">
        <f t="shared" si="23"/>
        <v>1</v>
      </c>
      <c r="J114">
        <f>ACOS((C114*C115+D114*D115+E114*E115)/(SQRT(C114^2+D114^2+E114^2)*SQRT(C115^2+D115^2+E115^2)))</f>
        <v>0.85125524884268544</v>
      </c>
      <c r="K114">
        <f t="shared" si="21"/>
        <v>48.773333047044531</v>
      </c>
      <c r="L114" t="s">
        <v>91</v>
      </c>
    </row>
    <row r="115" spans="1:12" ht="15" customHeight="1" x14ac:dyDescent="0.25">
      <c r="B115" t="str">
        <f t="shared" si="22"/>
        <v>P6*</v>
      </c>
      <c r="C115">
        <f t="shared" si="24"/>
        <v>0.40684261173306185</v>
      </c>
      <c r="D115">
        <f t="shared" si="25"/>
        <v>0.41323361649670842</v>
      </c>
      <c r="E115">
        <f t="shared" si="26"/>
        <v>-0.81468832535839897</v>
      </c>
      <c r="F115" s="7"/>
      <c r="G115" s="6" t="s">
        <v>70</v>
      </c>
      <c r="H115">
        <f t="shared" si="23"/>
        <v>1</v>
      </c>
      <c r="J115">
        <f>ACOS((C115*C110+D115*D110+E115*E110)/(SQRT(C115^2+D115^2+E115^2)*SQRT(C110^2+D110^2+E110^2)))</f>
        <v>2.290337404747107</v>
      </c>
      <c r="K115">
        <f t="shared" si="21"/>
        <v>131.22666695295544</v>
      </c>
      <c r="L115" t="s">
        <v>92</v>
      </c>
    </row>
    <row r="116" spans="1:12" ht="15" customHeight="1" x14ac:dyDescent="0.25">
      <c r="B116" t="str">
        <f t="shared" si="22"/>
        <v>P7*</v>
      </c>
      <c r="C116">
        <f t="shared" si="24"/>
        <v>-0.41892329565171921</v>
      </c>
      <c r="D116">
        <f t="shared" si="25"/>
        <v>0.41184766759882691</v>
      </c>
      <c r="E116">
        <f t="shared" si="26"/>
        <v>-0.8092495109999811</v>
      </c>
      <c r="F116" s="7"/>
      <c r="G116" s="6" t="s">
        <v>70</v>
      </c>
      <c r="H116">
        <f t="shared" si="23"/>
        <v>1</v>
      </c>
      <c r="J116">
        <f>ACOS((C116*C117+D116*D117+E116*E117)/(SQRT(C116^2+D116^2+E116^2)*SQRT(C117^2+D117^2+E117^2)))</f>
        <v>0.85125524884268511</v>
      </c>
      <c r="K116">
        <f t="shared" si="21"/>
        <v>48.77333304704451</v>
      </c>
      <c r="L116">
        <f>L94</f>
        <v>0</v>
      </c>
    </row>
    <row r="117" spans="1:12" ht="15" customHeight="1" x14ac:dyDescent="0.25">
      <c r="B117" t="str">
        <f t="shared" si="22"/>
        <v>P8*</v>
      </c>
      <c r="C117">
        <f t="shared" si="24"/>
        <v>-0.4175350238495753</v>
      </c>
      <c r="D117">
        <f t="shared" si="25"/>
        <v>-0.41393607337469451</v>
      </c>
      <c r="E117">
        <f t="shared" si="26"/>
        <v>-0.80890137286202834</v>
      </c>
      <c r="F117" s="7"/>
      <c r="G117" s="6" t="s">
        <v>70</v>
      </c>
      <c r="H117">
        <f t="shared" si="23"/>
        <v>1</v>
      </c>
      <c r="J117" t="e">
        <f>ACOS((C117*C118+D117*D118+E117*E118)/(SQRT(C117^2+D117^2+E117^2)*SQRT(C118^2+D118^2+E118^2)))</f>
        <v>#DIV/0!</v>
      </c>
      <c r="K117" t="e">
        <f t="shared" si="21"/>
        <v>#DIV/0!</v>
      </c>
      <c r="L117">
        <f>L95</f>
        <v>0</v>
      </c>
    </row>
    <row r="118" spans="1:12" ht="15" customHeight="1" x14ac:dyDescent="0.25">
      <c r="B118" s="7"/>
      <c r="C118" s="7"/>
      <c r="D118" s="7"/>
      <c r="E118" s="7"/>
      <c r="G118" s="6"/>
    </row>
    <row r="119" spans="1:12" ht="15" customHeight="1" x14ac:dyDescent="0.25">
      <c r="A119" s="12" t="s">
        <v>72</v>
      </c>
      <c r="B119" t="str">
        <f>B96</f>
        <v>P1*-P1</v>
      </c>
      <c r="C119">
        <f t="shared" ref="C119:E122" si="27">C110-C70</f>
        <v>6.1961780716466852E-3</v>
      </c>
      <c r="D119">
        <f t="shared" si="27"/>
        <v>-1.4979470099890646E-4</v>
      </c>
      <c r="E119">
        <f t="shared" si="27"/>
        <v>-2.8555660347100775E-2</v>
      </c>
      <c r="G119" s="6" t="s">
        <v>78</v>
      </c>
      <c r="H119">
        <f t="shared" ref="H119:H126" si="28">SQRT(POWER(C119,2)+POWER(D119,2)+POWER(E119,2))</f>
        <v>2.9220554392533113E-2</v>
      </c>
    </row>
    <row r="120" spans="1:12" ht="15" customHeight="1" x14ac:dyDescent="0.25">
      <c r="B120" t="str">
        <f t="shared" ref="B120:B126" si="29">B97</f>
        <v>P2*-P2</v>
      </c>
      <c r="C120">
        <f t="shared" si="27"/>
        <v>-1.1660008646410591E-2</v>
      </c>
      <c r="D120">
        <f t="shared" si="27"/>
        <v>2.2382004768664587E-3</v>
      </c>
      <c r="E120">
        <f t="shared" si="27"/>
        <v>6.9903691010425373E-2</v>
      </c>
      <c r="G120" s="6" t="s">
        <v>78</v>
      </c>
      <c r="H120">
        <f t="shared" si="28"/>
        <v>7.0904804913983363E-2</v>
      </c>
    </row>
    <row r="121" spans="1:12" ht="15" customHeight="1" x14ac:dyDescent="0.25">
      <c r="B121" t="str">
        <f t="shared" si="29"/>
        <v>P3*-P3</v>
      </c>
      <c r="C121">
        <f t="shared" si="27"/>
        <v>1.0671702138334183E-2</v>
      </c>
      <c r="D121">
        <f t="shared" si="27"/>
        <v>8.5225157898494164E-4</v>
      </c>
      <c r="E121">
        <f t="shared" si="27"/>
        <v>-2.3464984126635668E-2</v>
      </c>
      <c r="G121" s="6" t="s">
        <v>78</v>
      </c>
      <c r="H121">
        <f t="shared" si="28"/>
        <v>2.5791801785576603E-2</v>
      </c>
    </row>
    <row r="122" spans="1:12" ht="15" customHeight="1" x14ac:dyDescent="0.25">
      <c r="B122" t="str">
        <f t="shared" si="29"/>
        <v>P4*-P4</v>
      </c>
      <c r="C122">
        <f t="shared" si="27"/>
        <v>1.2059973940478141E-2</v>
      </c>
      <c r="D122">
        <f t="shared" si="27"/>
        <v>-1.535743598880368E-3</v>
      </c>
      <c r="E122">
        <f t="shared" si="27"/>
        <v>-6.6489310727696482E-3</v>
      </c>
      <c r="G122" s="6" t="s">
        <v>78</v>
      </c>
      <c r="H122">
        <f t="shared" si="28"/>
        <v>1.3856758793345419E-2</v>
      </c>
    </row>
    <row r="123" spans="1:12" ht="15" customHeight="1" x14ac:dyDescent="0.25">
      <c r="B123" t="str">
        <f t="shared" si="29"/>
        <v>P5*-P5</v>
      </c>
      <c r="C123">
        <f t="shared" ref="C123:E126" si="30">C114-C74</f>
        <v>-3.7432063876693566E-2</v>
      </c>
      <c r="D123">
        <f t="shared" si="30"/>
        <v>-8.5225157898438653E-4</v>
      </c>
      <c r="E123">
        <f t="shared" si="30"/>
        <v>-5.3538669762129842E-3</v>
      </c>
      <c r="G123" s="6" t="s">
        <v>78</v>
      </c>
      <c r="H123">
        <f t="shared" si="28"/>
        <v>3.7822607398508803E-2</v>
      </c>
    </row>
    <row r="124" spans="1:12" ht="15" customHeight="1" x14ac:dyDescent="0.25">
      <c r="B124" t="str">
        <f t="shared" si="29"/>
        <v>P6*-P6</v>
      </c>
      <c r="C124">
        <f t="shared" si="30"/>
        <v>1.8817366526858448E-2</v>
      </c>
      <c r="D124">
        <f t="shared" si="30"/>
        <v>1.535743598879924E-3</v>
      </c>
      <c r="E124">
        <f t="shared" si="30"/>
        <v>-5.7020051141658534E-3</v>
      </c>
      <c r="G124" s="6" t="s">
        <v>78</v>
      </c>
      <c r="H124">
        <f t="shared" si="28"/>
        <v>1.9722186839435607E-2</v>
      </c>
    </row>
    <row r="125" spans="1:12" ht="15" customHeight="1" x14ac:dyDescent="0.25">
      <c r="B125" t="str">
        <f t="shared" si="29"/>
        <v>P7*-P7</v>
      </c>
      <c r="C125">
        <f t="shared" si="30"/>
        <v>-2.0709978178601318E-5</v>
      </c>
      <c r="D125">
        <f t="shared" si="30"/>
        <v>1.4979470099840686E-4</v>
      </c>
      <c r="E125">
        <f t="shared" si="30"/>
        <v>-2.6319075574798845E-4</v>
      </c>
      <c r="G125" s="6" t="s">
        <v>78</v>
      </c>
      <c r="H125">
        <f t="shared" si="28"/>
        <v>3.0354032607638409E-4</v>
      </c>
    </row>
    <row r="126" spans="1:12" ht="15" customHeight="1" x14ac:dyDescent="0.25">
      <c r="B126" t="str">
        <f t="shared" si="29"/>
        <v>P8*-P8</v>
      </c>
      <c r="C126">
        <f t="shared" si="30"/>
        <v>1.3675618239653575E-3</v>
      </c>
      <c r="D126">
        <f t="shared" si="30"/>
        <v>-2.2382004768658481E-3</v>
      </c>
      <c r="E126">
        <f t="shared" si="30"/>
        <v>8.4947382204769717E-5</v>
      </c>
      <c r="G126" s="6" t="s">
        <v>78</v>
      </c>
      <c r="H126">
        <f t="shared" si="28"/>
        <v>2.6243061511099287E-3</v>
      </c>
    </row>
    <row r="127" spans="1:12" ht="15" customHeight="1" x14ac:dyDescent="0.25">
      <c r="B127" s="7"/>
      <c r="G127" s="6"/>
    </row>
    <row r="128" spans="1:12" ht="15" customHeight="1" x14ac:dyDescent="0.25">
      <c r="A128" s="19" t="s">
        <v>328</v>
      </c>
      <c r="B128" s="7" t="s">
        <v>204</v>
      </c>
      <c r="C128">
        <v>0</v>
      </c>
      <c r="D128">
        <v>0</v>
      </c>
      <c r="E128">
        <v>0</v>
      </c>
    </row>
    <row r="129" spans="1:11" ht="15" customHeight="1" x14ac:dyDescent="0.25">
      <c r="B129" t="str">
        <f t="shared" ref="B129:B134" si="31">B110</f>
        <v>P1*</v>
      </c>
      <c r="C129">
        <f t="shared" ref="C129:E136" si="32">C110*$K$61</f>
        <v>50.877515191302003</v>
      </c>
      <c r="D129">
        <f t="shared" si="32"/>
        <v>-50.01819230931951</v>
      </c>
      <c r="E129">
        <f t="shared" si="32"/>
        <v>98.281964065528769</v>
      </c>
      <c r="F129" t="s">
        <v>372</v>
      </c>
      <c r="G129">
        <f>C140-C139</f>
        <v>-0.16860322745567657</v>
      </c>
      <c r="H129">
        <f>D140-D139</f>
        <v>100.29001791545058</v>
      </c>
      <c r="I129">
        <f>E140-E139</f>
        <v>-4.2280779288716985E-2</v>
      </c>
      <c r="J129" s="57" t="s">
        <v>67</v>
      </c>
      <c r="K129">
        <f>SQRT(POWER(G129,2)+POWER(H129,2)+POWER(I129,2))</f>
        <v>100.29016855202708</v>
      </c>
    </row>
    <row r="130" spans="1:11" ht="15" customHeight="1" x14ac:dyDescent="0.25">
      <c r="B130" t="str">
        <f t="shared" si="31"/>
        <v>P2*</v>
      </c>
      <c r="C130">
        <f t="shared" si="32"/>
        <v>50.708911963846333</v>
      </c>
      <c r="D130">
        <f t="shared" si="32"/>
        <v>50.271825606131074</v>
      </c>
      <c r="E130">
        <f t="shared" si="32"/>
        <v>98.239683286240037</v>
      </c>
      <c r="F130" t="s">
        <v>378</v>
      </c>
      <c r="G130">
        <f>C143-C139</f>
        <v>-1.2985750984396844</v>
      </c>
      <c r="H130">
        <f>D143-D139</f>
        <v>-8.5312182091350053E-2</v>
      </c>
      <c r="I130">
        <f>E143-E139</f>
        <v>-197.18218202008467</v>
      </c>
      <c r="J130" s="57" t="s">
        <v>67</v>
      </c>
      <c r="K130">
        <f>SQRT(POWER(G130,2)+POWER(H130,2)+POWER(I130,2))</f>
        <v>197.18647641675759</v>
      </c>
    </row>
    <row r="131" spans="1:11" ht="15" customHeight="1" x14ac:dyDescent="0.25">
      <c r="B131" t="str">
        <f t="shared" si="31"/>
        <v>P3*</v>
      </c>
      <c r="C131">
        <f t="shared" si="32"/>
        <v>-49.578940092862375</v>
      </c>
      <c r="D131">
        <f t="shared" si="32"/>
        <v>50.103504491410931</v>
      </c>
      <c r="E131">
        <f t="shared" si="32"/>
        <v>98.900217954555842</v>
      </c>
    </row>
    <row r="132" spans="1:11" ht="15" customHeight="1" x14ac:dyDescent="0.25">
      <c r="B132" t="str">
        <f t="shared" si="31"/>
        <v>P4*</v>
      </c>
      <c r="C132">
        <f t="shared" si="32"/>
        <v>-49.410336865406748</v>
      </c>
      <c r="D132">
        <f t="shared" si="32"/>
        <v>-50.186513424039646</v>
      </c>
      <c r="E132">
        <f t="shared" si="32"/>
        <v>98.942498733844602</v>
      </c>
    </row>
    <row r="133" spans="1:11" ht="15" customHeight="1" x14ac:dyDescent="0.25">
      <c r="B133" t="str">
        <f t="shared" si="31"/>
        <v>P5*</v>
      </c>
      <c r="C133">
        <f t="shared" si="32"/>
        <v>49.578940092862325</v>
      </c>
      <c r="D133">
        <f t="shared" si="32"/>
        <v>-50.10350449141086</v>
      </c>
      <c r="E133">
        <f t="shared" si="32"/>
        <v>-98.900217954555913</v>
      </c>
    </row>
    <row r="134" spans="1:11" ht="15" customHeight="1" x14ac:dyDescent="0.25">
      <c r="B134" t="str">
        <f t="shared" si="31"/>
        <v>P6*</v>
      </c>
      <c r="C134">
        <f t="shared" si="32"/>
        <v>49.410336865406677</v>
      </c>
      <c r="D134">
        <f t="shared" si="32"/>
        <v>50.186513424039596</v>
      </c>
      <c r="E134">
        <f t="shared" si="32"/>
        <v>-98.942498733844673</v>
      </c>
    </row>
    <row r="135" spans="1:11" ht="15" customHeight="1" x14ac:dyDescent="0.25">
      <c r="B135" t="str">
        <f>B116</f>
        <v>P7*</v>
      </c>
      <c r="C135">
        <f t="shared" si="32"/>
        <v>-50.877515191301917</v>
      </c>
      <c r="D135">
        <f t="shared" si="32"/>
        <v>50.018192309319446</v>
      </c>
      <c r="E135">
        <f t="shared" si="32"/>
        <v>-98.281964065528854</v>
      </c>
    </row>
    <row r="136" spans="1:11" ht="15" customHeight="1" x14ac:dyDescent="0.25">
      <c r="B136" t="str">
        <f>B117</f>
        <v>P8*</v>
      </c>
      <c r="C136">
        <f t="shared" si="32"/>
        <v>-50.708911963846283</v>
      </c>
      <c r="D136">
        <f t="shared" si="32"/>
        <v>-50.271825606131003</v>
      </c>
      <c r="E136">
        <f t="shared" si="32"/>
        <v>-98.239683286240108</v>
      </c>
    </row>
    <row r="137" spans="1:11" ht="15" customHeight="1" x14ac:dyDescent="0.25"/>
    <row r="138" spans="1:11" ht="15" customHeight="1" x14ac:dyDescent="0.25">
      <c r="A138" s="19" t="s">
        <v>329</v>
      </c>
      <c r="B138" t="s">
        <v>204</v>
      </c>
      <c r="C138">
        <f>C128+$C$57</f>
        <v>50.875000000000007</v>
      </c>
      <c r="D138">
        <f>D128+$D$57</f>
        <v>50.000000000000007</v>
      </c>
      <c r="E138">
        <f>E128+$E$57</f>
        <v>98.25</v>
      </c>
    </row>
    <row r="139" spans="1:11" ht="15" customHeight="1" x14ac:dyDescent="0.25">
      <c r="B139" t="str">
        <f t="shared" ref="B139:B144" si="33">B129</f>
        <v>P1*</v>
      </c>
      <c r="C139">
        <f>C129+$C$57</f>
        <v>101.75251519130201</v>
      </c>
      <c r="D139">
        <f>D129+$D$57</f>
        <v>-1.8192309319502442E-2</v>
      </c>
      <c r="E139">
        <f>E129+$E$57</f>
        <v>196.53196406552877</v>
      </c>
    </row>
    <row r="140" spans="1:11" ht="15" customHeight="1" x14ac:dyDescent="0.25">
      <c r="B140" t="str">
        <f t="shared" si="33"/>
        <v>P2*</v>
      </c>
      <c r="C140">
        <f t="shared" ref="C140:C146" si="34">C130+$C$57</f>
        <v>101.58391196384633</v>
      </c>
      <c r="D140">
        <f t="shared" ref="D140:D146" si="35">D130+$D$57</f>
        <v>100.27182560613107</v>
      </c>
      <c r="E140">
        <f t="shared" ref="E140:E146" si="36">E130+$E$57</f>
        <v>196.48968328624005</v>
      </c>
    </row>
    <row r="141" spans="1:11" ht="15" customHeight="1" x14ac:dyDescent="0.25">
      <c r="B141" t="str">
        <f t="shared" si="33"/>
        <v>P3*</v>
      </c>
      <c r="C141">
        <f t="shared" si="34"/>
        <v>1.2960599071376322</v>
      </c>
      <c r="D141">
        <f t="shared" si="35"/>
        <v>100.10350449141094</v>
      </c>
      <c r="E141">
        <f t="shared" si="36"/>
        <v>197.15021795455584</v>
      </c>
    </row>
    <row r="142" spans="1:11" ht="15" customHeight="1" x14ac:dyDescent="0.25">
      <c r="B142" t="str">
        <f t="shared" si="33"/>
        <v>P4*</v>
      </c>
      <c r="C142">
        <f t="shared" si="34"/>
        <v>1.464663134593259</v>
      </c>
      <c r="D142">
        <f t="shared" si="35"/>
        <v>-0.18651342403963866</v>
      </c>
      <c r="E142">
        <f t="shared" si="36"/>
        <v>197.19249873384462</v>
      </c>
    </row>
    <row r="143" spans="1:11" ht="15" customHeight="1" x14ac:dyDescent="0.25">
      <c r="B143" t="str">
        <f t="shared" si="33"/>
        <v>P5*</v>
      </c>
      <c r="C143">
        <f t="shared" si="34"/>
        <v>100.45394009286233</v>
      </c>
      <c r="D143">
        <f t="shared" si="35"/>
        <v>-0.10350449141085249</v>
      </c>
      <c r="E143">
        <f t="shared" si="36"/>
        <v>-0.65021795455591302</v>
      </c>
    </row>
    <row r="144" spans="1:11" ht="15" customHeight="1" x14ac:dyDescent="0.25">
      <c r="B144" t="str">
        <f t="shared" si="33"/>
        <v>P6*</v>
      </c>
      <c r="C144">
        <f t="shared" si="34"/>
        <v>100.28533686540669</v>
      </c>
      <c r="D144">
        <f t="shared" si="35"/>
        <v>100.1865134240396</v>
      </c>
      <c r="E144">
        <f t="shared" si="36"/>
        <v>-0.69249873384467264</v>
      </c>
    </row>
    <row r="145" spans="2:5" ht="15" customHeight="1" x14ac:dyDescent="0.25">
      <c r="B145" t="str">
        <f>B135</f>
        <v>P7*</v>
      </c>
      <c r="C145">
        <f t="shared" si="34"/>
        <v>-2.5151913019101357E-3</v>
      </c>
      <c r="D145">
        <f t="shared" si="35"/>
        <v>100.01819230931946</v>
      </c>
      <c r="E145">
        <f t="shared" si="36"/>
        <v>-3.196406552885378E-2</v>
      </c>
    </row>
    <row r="146" spans="2:5" ht="15" customHeight="1" x14ac:dyDescent="0.25">
      <c r="B146" t="str">
        <f>B136</f>
        <v>P8*</v>
      </c>
      <c r="C146">
        <f t="shared" si="34"/>
        <v>0.16608803615372381</v>
      </c>
      <c r="D146">
        <f t="shared" si="35"/>
        <v>-0.27182560613099582</v>
      </c>
      <c r="E146">
        <f t="shared" si="36"/>
        <v>1.0316713759891627E-2</v>
      </c>
    </row>
    <row r="147" spans="2:5" ht="15" customHeight="1" x14ac:dyDescent="0.25"/>
    <row r="148" spans="2:5" ht="15" customHeight="1" x14ac:dyDescent="0.25"/>
    <row r="149" spans="2:5" ht="15" customHeight="1" x14ac:dyDescent="0.25"/>
    <row r="150" spans="2:5" ht="15" customHeight="1" x14ac:dyDescent="0.25"/>
    <row r="151" spans="2:5" ht="15" customHeight="1" x14ac:dyDescent="0.25"/>
    <row r="152" spans="2:5" ht="15" customHeight="1" x14ac:dyDescent="0.25"/>
    <row r="153" spans="2:5" ht="15" customHeight="1" x14ac:dyDescent="0.25"/>
    <row r="154" spans="2:5" ht="15" customHeight="1" x14ac:dyDescent="0.25"/>
    <row r="155" spans="2:5" ht="15" customHeight="1" x14ac:dyDescent="0.25"/>
    <row r="156" spans="2:5" ht="15" customHeight="1" x14ac:dyDescent="0.25"/>
    <row r="157" spans="2:5" ht="15" customHeight="1" x14ac:dyDescent="0.25"/>
  </sheetData>
  <mergeCells count="22">
    <mergeCell ref="A92:A93"/>
    <mergeCell ref="A106:A107"/>
    <mergeCell ref="A47:A48"/>
    <mergeCell ref="G47:H47"/>
    <mergeCell ref="G51:H51"/>
    <mergeCell ref="A89:A90"/>
    <mergeCell ref="D25:F25"/>
    <mergeCell ref="E37:F38"/>
    <mergeCell ref="A41:C42"/>
    <mergeCell ref="H39:J43"/>
    <mergeCell ref="E40:F40"/>
    <mergeCell ref="E41:F41"/>
    <mergeCell ref="E42:F42"/>
    <mergeCell ref="D29:F29"/>
    <mergeCell ref="G30:H30"/>
    <mergeCell ref="D33:F33"/>
    <mergeCell ref="H22:J23"/>
    <mergeCell ref="B2:D2"/>
    <mergeCell ref="F3:G5"/>
    <mergeCell ref="B8:D8"/>
    <mergeCell ref="E8:H8"/>
    <mergeCell ref="D21:F21"/>
  </mergeCells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3"/>
  <sheetViews>
    <sheetView topLeftCell="A69" workbookViewId="0">
      <selection activeCell="E90" sqref="E90"/>
    </sheetView>
  </sheetViews>
  <sheetFormatPr baseColWidth="10" defaultRowHeight="15" x14ac:dyDescent="0.25"/>
  <cols>
    <col min="1" max="1" width="26.7109375" customWidth="1"/>
    <col min="2" max="12" width="13.7109375" customWidth="1"/>
    <col min="13" max="13" width="12" bestFit="1" customWidth="1"/>
  </cols>
  <sheetData>
    <row r="1" spans="1:11" ht="15" customHeight="1" x14ac:dyDescent="0.25">
      <c r="A1" t="s">
        <v>0</v>
      </c>
    </row>
    <row r="2" spans="1:11" ht="15" customHeight="1" x14ac:dyDescent="0.25">
      <c r="A2" s="29"/>
      <c r="B2" s="69" t="s">
        <v>134</v>
      </c>
      <c r="C2" s="70"/>
      <c r="D2" s="70"/>
    </row>
    <row r="3" spans="1:11" ht="15" customHeight="1" x14ac:dyDescent="0.25">
      <c r="A3" t="s">
        <v>1</v>
      </c>
      <c r="F3" s="75" t="s">
        <v>315</v>
      </c>
      <c r="G3" s="76"/>
    </row>
    <row r="4" spans="1:11" ht="15" customHeight="1" x14ac:dyDescent="0.25">
      <c r="A4" t="s">
        <v>2</v>
      </c>
      <c r="B4" s="1">
        <v>100</v>
      </c>
      <c r="C4" s="49" t="s">
        <v>51</v>
      </c>
      <c r="D4" s="1">
        <v>90</v>
      </c>
      <c r="F4" s="76"/>
      <c r="G4" s="76"/>
    </row>
    <row r="5" spans="1:11" ht="15" customHeight="1" x14ac:dyDescent="0.25">
      <c r="A5" t="s">
        <v>3</v>
      </c>
      <c r="B5" s="1">
        <v>100</v>
      </c>
      <c r="C5" s="49" t="s">
        <v>52</v>
      </c>
      <c r="D5" s="1">
        <v>90</v>
      </c>
      <c r="F5" s="76"/>
      <c r="G5" s="76"/>
    </row>
    <row r="6" spans="1:11" ht="15" customHeight="1" x14ac:dyDescent="0.25">
      <c r="A6" t="s">
        <v>4</v>
      </c>
      <c r="B6" s="1">
        <v>300</v>
      </c>
      <c r="C6" s="49" t="s">
        <v>53</v>
      </c>
      <c r="D6" s="1">
        <v>90</v>
      </c>
    </row>
    <row r="7" spans="1:11" ht="15" customHeight="1" x14ac:dyDescent="0.25"/>
    <row r="8" spans="1:11" ht="15" customHeight="1" x14ac:dyDescent="0.25">
      <c r="B8" s="65" t="s">
        <v>330</v>
      </c>
      <c r="C8" s="65"/>
      <c r="D8" s="65"/>
      <c r="E8" s="77" t="s">
        <v>331</v>
      </c>
      <c r="F8" s="80"/>
      <c r="G8" s="80"/>
      <c r="H8" s="80"/>
    </row>
    <row r="9" spans="1:11" ht="15" customHeight="1" x14ac:dyDescent="0.25">
      <c r="A9" t="s">
        <v>5</v>
      </c>
      <c r="B9" t="s">
        <v>6</v>
      </c>
      <c r="C9" t="s">
        <v>7</v>
      </c>
      <c r="D9" t="s">
        <v>8</v>
      </c>
      <c r="E9" s="12"/>
      <c r="F9" s="12" t="s">
        <v>6</v>
      </c>
      <c r="G9" s="12" t="s">
        <v>7</v>
      </c>
      <c r="H9" s="12" t="s">
        <v>8</v>
      </c>
    </row>
    <row r="10" spans="1:11" ht="15" customHeight="1" x14ac:dyDescent="0.25">
      <c r="A10" t="s">
        <v>96</v>
      </c>
      <c r="B10" s="1">
        <v>0.5</v>
      </c>
      <c r="C10" s="1">
        <v>0.5</v>
      </c>
      <c r="D10" s="1">
        <v>0.5</v>
      </c>
      <c r="E10" s="14" t="s">
        <v>82</v>
      </c>
      <c r="F10" s="12">
        <f t="shared" ref="F10:F18" si="0">C144*$G$52+D144*$H$52+E144*$I$52</f>
        <v>0.5</v>
      </c>
      <c r="G10" s="12">
        <f t="shared" ref="G10:G18" si="1">C144*$G$53+D144*$H$53+E144*$I$53</f>
        <v>0.5</v>
      </c>
      <c r="H10" s="12">
        <f t="shared" ref="H10:H18" si="2">C144*$G$54+D144*$H$54+E144*$I$54</f>
        <v>0.5</v>
      </c>
    </row>
    <row r="11" spans="1:11" ht="15" customHeight="1" x14ac:dyDescent="0.25">
      <c r="A11" t="s">
        <v>9</v>
      </c>
      <c r="B11" s="1">
        <v>1</v>
      </c>
      <c r="C11" s="1">
        <v>0</v>
      </c>
      <c r="D11" s="1">
        <v>1</v>
      </c>
      <c r="E11" s="15" t="s">
        <v>58</v>
      </c>
      <c r="F11" s="28">
        <f t="shared" si="0"/>
        <v>0.99750953712892976</v>
      </c>
      <c r="G11" s="28">
        <f t="shared" si="1"/>
        <v>2.4987929539202307E-3</v>
      </c>
      <c r="H11" s="28">
        <f t="shared" si="2"/>
        <v>0.99999717027916302</v>
      </c>
    </row>
    <row r="12" spans="1:11" ht="15" customHeight="1" x14ac:dyDescent="0.25">
      <c r="A12" t="s">
        <v>10</v>
      </c>
      <c r="B12" s="1">
        <v>1</v>
      </c>
      <c r="C12" s="1">
        <v>1</v>
      </c>
      <c r="D12" s="1">
        <v>1</v>
      </c>
      <c r="E12" s="15" t="s">
        <v>59</v>
      </c>
      <c r="F12" s="28">
        <f t="shared" si="0"/>
        <v>0.99751360616382878</v>
      </c>
      <c r="G12" s="28">
        <f t="shared" si="1"/>
        <v>0.99750366939998547</v>
      </c>
      <c r="H12" s="28">
        <f t="shared" si="2"/>
        <v>0.99999644818143951</v>
      </c>
      <c r="K12" s="4"/>
    </row>
    <row r="13" spans="1:11" ht="15" customHeight="1" x14ac:dyDescent="0.25">
      <c r="A13" t="s">
        <v>11</v>
      </c>
      <c r="B13" s="22">
        <v>0</v>
      </c>
      <c r="C13" s="23">
        <v>1</v>
      </c>
      <c r="D13" s="23">
        <v>1</v>
      </c>
      <c r="E13" s="24" t="s">
        <v>60</v>
      </c>
      <c r="F13" s="27">
        <f t="shared" si="0"/>
        <v>2.5087297338503983E-3</v>
      </c>
      <c r="G13" s="27">
        <f t="shared" si="1"/>
        <v>0.99750773844807539</v>
      </c>
      <c r="H13" s="27">
        <f t="shared" si="2"/>
        <v>0.99999846770035627</v>
      </c>
      <c r="K13" s="4"/>
    </row>
    <row r="14" spans="1:11" ht="15" customHeight="1" x14ac:dyDescent="0.25">
      <c r="A14" t="s">
        <v>12</v>
      </c>
      <c r="B14" s="1">
        <v>0</v>
      </c>
      <c r="C14" s="1">
        <v>0</v>
      </c>
      <c r="D14" s="1">
        <v>1</v>
      </c>
      <c r="E14" s="15" t="s">
        <v>61</v>
      </c>
      <c r="F14" s="28">
        <f t="shared" si="0"/>
        <v>2.5046606989511428E-3</v>
      </c>
      <c r="G14" s="28">
        <f t="shared" si="1"/>
        <v>2.5028620020097784E-3</v>
      </c>
      <c r="H14" s="28">
        <f t="shared" si="2"/>
        <v>0.99999918979807989</v>
      </c>
    </row>
    <row r="15" spans="1:11" ht="15" customHeight="1" x14ac:dyDescent="0.25">
      <c r="A15" t="s">
        <v>13</v>
      </c>
      <c r="B15" s="1">
        <v>0.5</v>
      </c>
      <c r="C15" s="1">
        <v>-0.2</v>
      </c>
      <c r="D15" s="1">
        <v>0</v>
      </c>
      <c r="E15" s="15" t="s">
        <v>62</v>
      </c>
      <c r="F15" s="28">
        <f t="shared" si="0"/>
        <v>0.49998798932643995</v>
      </c>
      <c r="G15" s="28">
        <f t="shared" si="1"/>
        <v>-0.20357796114969048</v>
      </c>
      <c r="H15" s="28">
        <f t="shared" si="2"/>
        <v>2.6916104370873958E-6</v>
      </c>
    </row>
    <row r="16" spans="1:11" ht="15" customHeight="1" x14ac:dyDescent="0.25">
      <c r="A16" t="s">
        <v>98</v>
      </c>
      <c r="B16" s="23">
        <v>1.2</v>
      </c>
      <c r="C16" s="23">
        <v>0.5</v>
      </c>
      <c r="D16" s="23">
        <v>0</v>
      </c>
      <c r="E16" s="16" t="s">
        <v>99</v>
      </c>
      <c r="F16" s="28">
        <f t="shared" si="0"/>
        <v>1.2035655620059276</v>
      </c>
      <c r="G16" s="28">
        <f t="shared" si="1"/>
        <v>0.49999385704750526</v>
      </c>
      <c r="H16" s="28">
        <f t="shared" si="2"/>
        <v>7.5299471935371306E-7</v>
      </c>
    </row>
    <row r="17" spans="1:10" ht="15" customHeight="1" x14ac:dyDescent="0.25">
      <c r="A17" t="s">
        <v>104</v>
      </c>
      <c r="B17" s="1">
        <v>0.5</v>
      </c>
      <c r="C17" s="1">
        <v>1.2</v>
      </c>
      <c r="D17" s="1">
        <v>0</v>
      </c>
      <c r="E17" s="16" t="s">
        <v>110</v>
      </c>
      <c r="F17" s="28">
        <f t="shared" si="0"/>
        <v>0.49999374381077999</v>
      </c>
      <c r="G17" s="28">
        <f t="shared" si="1"/>
        <v>1.2035714297476952</v>
      </c>
      <c r="H17" s="28">
        <f t="shared" si="2"/>
        <v>1.6704100428910352E-6</v>
      </c>
    </row>
    <row r="18" spans="1:10" ht="15" customHeight="1" x14ac:dyDescent="0.25">
      <c r="A18" t="s">
        <v>105</v>
      </c>
      <c r="B18" s="1">
        <v>-0.2</v>
      </c>
      <c r="C18" s="1">
        <v>0.5</v>
      </c>
      <c r="D18" s="1">
        <v>0</v>
      </c>
      <c r="E18" s="16" t="s">
        <v>111</v>
      </c>
      <c r="F18" s="28">
        <f t="shared" si="0"/>
        <v>-0.2035838288687076</v>
      </c>
      <c r="G18" s="28">
        <f t="shared" si="1"/>
        <v>0.49999961155049955</v>
      </c>
      <c r="H18" s="28">
        <f t="shared" si="2"/>
        <v>3.6090257605299791E-6</v>
      </c>
    </row>
    <row r="19" spans="1:10" ht="15" customHeight="1" x14ac:dyDescent="0.25">
      <c r="B19" s="6"/>
      <c r="C19" s="6"/>
      <c r="D19" s="6"/>
      <c r="E19" s="6"/>
      <c r="F19" s="6"/>
      <c r="G19" s="6"/>
      <c r="H19" s="6"/>
    </row>
    <row r="20" spans="1:10" ht="15" customHeight="1" x14ac:dyDescent="0.25">
      <c r="B20" s="6"/>
      <c r="C20" s="6"/>
      <c r="D20" s="6"/>
      <c r="E20" s="6"/>
      <c r="F20" s="6"/>
      <c r="G20" s="6"/>
      <c r="H20" s="6"/>
    </row>
    <row r="21" spans="1:10" ht="15" customHeight="1" x14ac:dyDescent="0.25">
      <c r="A21" t="s">
        <v>57</v>
      </c>
      <c r="B21" t="s">
        <v>17</v>
      </c>
      <c r="D21" s="61" t="s">
        <v>18</v>
      </c>
      <c r="E21" s="61"/>
      <c r="F21" s="61"/>
    </row>
    <row r="22" spans="1:10" ht="15" customHeight="1" x14ac:dyDescent="0.25">
      <c r="A22" t="s">
        <v>19</v>
      </c>
      <c r="B22" s="13">
        <f>H125*100</f>
        <v>0.21293725123479626</v>
      </c>
      <c r="C22" t="s">
        <v>210</v>
      </c>
      <c r="D22" t="s">
        <v>20</v>
      </c>
      <c r="E22" s="3">
        <f>(AVERAGE(B22:B29))</f>
        <v>0.21447358920934015</v>
      </c>
      <c r="F22" t="s">
        <v>210</v>
      </c>
      <c r="H22" s="66" t="s">
        <v>332</v>
      </c>
      <c r="I22" s="66"/>
      <c r="J22" s="66"/>
    </row>
    <row r="23" spans="1:10" ht="15" customHeight="1" x14ac:dyDescent="0.25">
      <c r="A23" t="s">
        <v>22</v>
      </c>
      <c r="B23" s="13">
        <f t="shared" ref="B23:B29" si="3">H126*100</f>
        <v>0.2126589803562316</v>
      </c>
      <c r="C23" t="s">
        <v>210</v>
      </c>
      <c r="D23" t="s">
        <v>23</v>
      </c>
      <c r="E23">
        <f>E22*K61/100</f>
        <v>0.35534058584979022</v>
      </c>
      <c r="F23" t="s">
        <v>24</v>
      </c>
      <c r="H23" s="66"/>
      <c r="I23" s="66"/>
      <c r="J23" s="66"/>
    </row>
    <row r="24" spans="1:10" ht="15" customHeight="1" x14ac:dyDescent="0.25">
      <c r="A24" t="s">
        <v>25</v>
      </c>
      <c r="B24" s="13">
        <f t="shared" si="3"/>
        <v>0.21343853301578256</v>
      </c>
      <c r="C24" t="s">
        <v>210</v>
      </c>
      <c r="H24" t="s">
        <v>56</v>
      </c>
      <c r="I24" s="4" t="s">
        <v>29</v>
      </c>
      <c r="J24" s="4" t="s">
        <v>30</v>
      </c>
    </row>
    <row r="25" spans="1:10" ht="15" customHeight="1" x14ac:dyDescent="0.25">
      <c r="A25" t="s">
        <v>26</v>
      </c>
      <c r="B25" s="13">
        <f t="shared" si="3"/>
        <v>0.21371601371549384</v>
      </c>
      <c r="C25" t="s">
        <v>210</v>
      </c>
      <c r="D25" s="65" t="s">
        <v>207</v>
      </c>
      <c r="E25" s="65"/>
      <c r="F25" s="65"/>
      <c r="H25" s="9" t="s">
        <v>54</v>
      </c>
      <c r="I25" s="5">
        <v>5.8445985421913935</v>
      </c>
      <c r="J25">
        <f>DEGREES(I25)</f>
        <v>334.87082941588045</v>
      </c>
    </row>
    <row r="26" spans="1:10" ht="15" customHeight="1" x14ac:dyDescent="0.25">
      <c r="A26" t="s">
        <v>28</v>
      </c>
      <c r="B26" s="13">
        <f t="shared" si="3"/>
        <v>0.21595744425497557</v>
      </c>
      <c r="C26" t="s">
        <v>210</v>
      </c>
      <c r="D26" t="s">
        <v>20</v>
      </c>
      <c r="E26">
        <f>E27/K61*100</f>
        <v>0</v>
      </c>
      <c r="F26" t="s">
        <v>210</v>
      </c>
      <c r="H26" s="9" t="s">
        <v>55</v>
      </c>
      <c r="I26" s="5">
        <v>2.356202862044507</v>
      </c>
      <c r="J26">
        <f>DEGREES(I26)</f>
        <v>135.0004796717956</v>
      </c>
    </row>
    <row r="27" spans="1:10" ht="15" customHeight="1" x14ac:dyDescent="0.25">
      <c r="A27" t="s">
        <v>100</v>
      </c>
      <c r="B27" s="13">
        <f t="shared" si="3"/>
        <v>0.21520766268205002</v>
      </c>
      <c r="C27" t="s">
        <v>210</v>
      </c>
      <c r="D27" t="s">
        <v>23</v>
      </c>
      <c r="E27">
        <f>H60</f>
        <v>0</v>
      </c>
      <c r="F27" t="s">
        <v>24</v>
      </c>
      <c r="H27" s="9" t="s">
        <v>79</v>
      </c>
      <c r="I27" s="5">
        <v>6.2831715431373425</v>
      </c>
      <c r="J27">
        <f>DEGREES(I27)</f>
        <v>359.99921137847042</v>
      </c>
    </row>
    <row r="28" spans="1:10" ht="15" customHeight="1" x14ac:dyDescent="0.25">
      <c r="A28" t="s">
        <v>116</v>
      </c>
      <c r="B28" s="13">
        <f t="shared" si="3"/>
        <v>0.21556200342896523</v>
      </c>
      <c r="C28" t="s">
        <v>210</v>
      </c>
      <c r="H28" s="9" t="s">
        <v>185</v>
      </c>
      <c r="I28" s="5">
        <v>4.0187606513677485</v>
      </c>
      <c r="J28">
        <f>DEGREES(I28)</f>
        <v>230.25802419661761</v>
      </c>
    </row>
    <row r="29" spans="1:10" ht="15" customHeight="1" x14ac:dyDescent="0.25">
      <c r="A29" t="s">
        <v>117</v>
      </c>
      <c r="B29" s="13">
        <f t="shared" si="3"/>
        <v>0.21631082498642604</v>
      </c>
      <c r="C29" t="s">
        <v>210</v>
      </c>
      <c r="D29" s="65" t="s">
        <v>367</v>
      </c>
      <c r="E29" s="65"/>
      <c r="F29" s="65"/>
    </row>
    <row r="30" spans="1:10" ht="15" customHeight="1" x14ac:dyDescent="0.25">
      <c r="D30" t="s">
        <v>20</v>
      </c>
      <c r="E30">
        <f>E31/K61*100</f>
        <v>183.96467191764225</v>
      </c>
      <c r="F30" t="s">
        <v>210</v>
      </c>
      <c r="G30" s="65" t="s">
        <v>368</v>
      </c>
      <c r="H30" s="65"/>
    </row>
    <row r="31" spans="1:10" ht="15" customHeight="1" x14ac:dyDescent="0.25">
      <c r="D31" t="s">
        <v>23</v>
      </c>
      <c r="E31">
        <f>K136</f>
        <v>304.79330595374137</v>
      </c>
      <c r="F31" t="s">
        <v>24</v>
      </c>
      <c r="G31">
        <f>E30/E34</f>
        <v>3.0632342932742578</v>
      </c>
    </row>
    <row r="32" spans="1:10" ht="15" customHeight="1" x14ac:dyDescent="0.25">
      <c r="H32" t="s">
        <v>369</v>
      </c>
    </row>
    <row r="33" spans="1:13" ht="15" customHeight="1" x14ac:dyDescent="0.25">
      <c r="D33" s="65" t="s">
        <v>370</v>
      </c>
      <c r="E33" s="65"/>
      <c r="F33" s="65"/>
      <c r="H33" t="s">
        <v>371</v>
      </c>
    </row>
    <row r="34" spans="1:13" ht="15" customHeight="1" x14ac:dyDescent="0.25">
      <c r="D34" t="s">
        <v>20</v>
      </c>
      <c r="E34">
        <f>E35/K61*100</f>
        <v>60.055697444221423</v>
      </c>
      <c r="F34" t="s">
        <v>210</v>
      </c>
    </row>
    <row r="35" spans="1:13" ht="15" customHeight="1" x14ac:dyDescent="0.25">
      <c r="D35" t="s">
        <v>23</v>
      </c>
      <c r="E35">
        <f>K135</f>
        <v>99.500487645674369</v>
      </c>
      <c r="F35" t="s">
        <v>24</v>
      </c>
    </row>
    <row r="36" spans="1:13" ht="15" customHeight="1" x14ac:dyDescent="0.25">
      <c r="E36" s="56"/>
      <c r="F36" s="56"/>
    </row>
    <row r="37" spans="1:13" ht="15" customHeight="1" x14ac:dyDescent="0.25">
      <c r="E37" s="61" t="s">
        <v>274</v>
      </c>
      <c r="F37" s="61"/>
    </row>
    <row r="38" spans="1:13" ht="15" customHeight="1" x14ac:dyDescent="0.25">
      <c r="E38" s="61"/>
      <c r="F38" s="61"/>
    </row>
    <row r="39" spans="1:13" ht="15" customHeight="1" x14ac:dyDescent="0.25">
      <c r="H39" s="61" t="s">
        <v>235</v>
      </c>
      <c r="I39" s="61"/>
      <c r="J39" s="61"/>
    </row>
    <row r="40" spans="1:13" ht="15" customHeight="1" x14ac:dyDescent="0.25">
      <c r="D40" s="2" t="s">
        <v>14</v>
      </c>
      <c r="E40" s="71" t="s">
        <v>15</v>
      </c>
      <c r="F40" s="71"/>
      <c r="H40" s="61"/>
      <c r="I40" s="61"/>
      <c r="J40" s="61"/>
    </row>
    <row r="41" spans="1:13" ht="15" customHeight="1" x14ac:dyDescent="0.25">
      <c r="A41" s="61" t="s">
        <v>275</v>
      </c>
      <c r="B41" s="61"/>
      <c r="C41" s="61"/>
      <c r="D41" s="2"/>
      <c r="E41" s="72" t="s">
        <v>16</v>
      </c>
      <c r="F41" s="72"/>
      <c r="H41" s="61"/>
      <c r="I41" s="61"/>
      <c r="J41" s="61"/>
    </row>
    <row r="42" spans="1:13" ht="15" customHeight="1" x14ac:dyDescent="0.25">
      <c r="A42" s="61"/>
      <c r="B42" s="61"/>
      <c r="C42" s="61"/>
      <c r="D42" s="2"/>
      <c r="E42" s="73" t="s">
        <v>307</v>
      </c>
      <c r="F42" s="74"/>
      <c r="H42" s="61"/>
      <c r="I42" s="61"/>
      <c r="J42" s="61"/>
    </row>
    <row r="43" spans="1:13" ht="15" customHeight="1" x14ac:dyDescent="0.25">
      <c r="H43" s="61"/>
      <c r="I43" s="61"/>
      <c r="J43" s="61"/>
    </row>
    <row r="44" spans="1:13" ht="15" customHeight="1" x14ac:dyDescent="0.25">
      <c r="H44" s="4"/>
      <c r="I44" s="4"/>
      <c r="J44" s="4"/>
      <c r="K44" s="4"/>
      <c r="L44" s="4"/>
    </row>
    <row r="45" spans="1:13" ht="15" customHeight="1" x14ac:dyDescent="0.25"/>
    <row r="46" spans="1:13" ht="15" customHeight="1" x14ac:dyDescent="0.25"/>
    <row r="47" spans="1:13" ht="15" customHeight="1" x14ac:dyDescent="0.25">
      <c r="A47" s="68" t="s">
        <v>83</v>
      </c>
      <c r="B47" s="7"/>
      <c r="C47" s="8" t="s">
        <v>31</v>
      </c>
      <c r="D47" s="8" t="s">
        <v>32</v>
      </c>
      <c r="E47" s="8" t="s">
        <v>33</v>
      </c>
      <c r="F47" s="8"/>
      <c r="G47" s="61" t="s">
        <v>95</v>
      </c>
      <c r="H47" s="61"/>
    </row>
    <row r="48" spans="1:13" ht="15" customHeight="1" x14ac:dyDescent="0.25">
      <c r="A48" s="68"/>
      <c r="B48" t="s">
        <v>82</v>
      </c>
      <c r="C48">
        <f t="shared" ref="C48:C56" si="4">B10*$G$48+C10*$H$48+D10*$I$48</f>
        <v>50.000000000000007</v>
      </c>
      <c r="D48">
        <f t="shared" ref="D48:D56" si="5">B10*$G$49+C10*$H$49+D10*$I$49</f>
        <v>50.000000000000007</v>
      </c>
      <c r="E48">
        <f t="shared" ref="E48:E56" si="6">B10*$G$50+C10*$H$50+D10*$I$50</f>
        <v>150</v>
      </c>
      <c r="G48">
        <f>B4</f>
        <v>100</v>
      </c>
      <c r="H48">
        <f>B5*(COS(M50))</f>
        <v>6.1257422745431001E-15</v>
      </c>
      <c r="I48">
        <f>B6*(COS(M49))</f>
        <v>1.83772268236293E-14</v>
      </c>
      <c r="K48" t="s">
        <v>51</v>
      </c>
      <c r="L48">
        <f>D4</f>
        <v>90</v>
      </c>
      <c r="M48">
        <f>RADIANS(L48)</f>
        <v>1.5707963267948966</v>
      </c>
    </row>
    <row r="49" spans="1:13" ht="15" customHeight="1" x14ac:dyDescent="0.25">
      <c r="B49" t="str">
        <f t="shared" ref="B49:B56" si="7">A22</f>
        <v>P1</v>
      </c>
      <c r="C49">
        <f t="shared" si="4"/>
        <v>100.00000000000001</v>
      </c>
      <c r="D49">
        <f t="shared" si="5"/>
        <v>1.83772268236293E-14</v>
      </c>
      <c r="E49">
        <f t="shared" si="6"/>
        <v>300</v>
      </c>
      <c r="G49">
        <f>0</f>
        <v>0</v>
      </c>
      <c r="H49">
        <f>B5*(SIN(M50))</f>
        <v>100</v>
      </c>
      <c r="I49">
        <f>(B6*(COS(M48)-COS(M49)*COS(M50)))/(SIN(M50))</f>
        <v>1.83772268236293E-14</v>
      </c>
      <c r="K49" t="s">
        <v>93</v>
      </c>
      <c r="L49">
        <f>D5</f>
        <v>90</v>
      </c>
      <c r="M49">
        <f>RADIANS(L49)</f>
        <v>1.5707963267948966</v>
      </c>
    </row>
    <row r="50" spans="1:13" ht="15" customHeight="1" x14ac:dyDescent="0.25">
      <c r="B50" t="str">
        <f t="shared" si="7"/>
        <v>P2</v>
      </c>
      <c r="C50">
        <f t="shared" si="4"/>
        <v>100.00000000000001</v>
      </c>
      <c r="D50">
        <f t="shared" si="5"/>
        <v>100.00000000000001</v>
      </c>
      <c r="E50">
        <f t="shared" si="6"/>
        <v>300</v>
      </c>
      <c r="G50">
        <f>0</f>
        <v>0</v>
      </c>
      <c r="H50">
        <f>0</f>
        <v>0</v>
      </c>
      <c r="I50">
        <f>B6*(SQRT(1-POWER(COS(M49),2)-(POWER(COS(M48)-(COS(M49)*COS(M50)),2))/(POWER(SIN(M50),2))))</f>
        <v>300</v>
      </c>
      <c r="K50" t="s">
        <v>94</v>
      </c>
      <c r="L50">
        <f>D6</f>
        <v>90</v>
      </c>
      <c r="M50">
        <f>RADIANS(L50)</f>
        <v>1.5707963267948966</v>
      </c>
    </row>
    <row r="51" spans="1:13" ht="15" customHeight="1" x14ac:dyDescent="0.25">
      <c r="B51" t="str">
        <f t="shared" si="7"/>
        <v>P3</v>
      </c>
      <c r="C51">
        <f t="shared" si="4"/>
        <v>2.45029690981724E-14</v>
      </c>
      <c r="D51">
        <f t="shared" si="5"/>
        <v>100.00000000000001</v>
      </c>
      <c r="E51">
        <f t="shared" si="6"/>
        <v>300</v>
      </c>
      <c r="G51" s="65" t="s">
        <v>272</v>
      </c>
      <c r="H51" s="65"/>
    </row>
    <row r="52" spans="1:13" ht="15" customHeight="1" x14ac:dyDescent="0.25">
      <c r="B52" t="str">
        <f t="shared" si="7"/>
        <v>P4</v>
      </c>
      <c r="C52">
        <f t="shared" si="4"/>
        <v>1.83772268236293E-14</v>
      </c>
      <c r="D52">
        <f t="shared" si="5"/>
        <v>1.83772268236293E-14</v>
      </c>
      <c r="E52">
        <f t="shared" si="6"/>
        <v>300</v>
      </c>
      <c r="G52" s="6">
        <f>1/G48</f>
        <v>0.01</v>
      </c>
      <c r="H52">
        <f>-H48/(G48*H49)</f>
        <v>-6.1257422745431004E-19</v>
      </c>
      <c r="I52">
        <f>(H48*I49)/(G48*H49*I50)-I48/(G48*I50)</f>
        <v>-6.1257422745431004E-19</v>
      </c>
    </row>
    <row r="53" spans="1:13" ht="15" customHeight="1" x14ac:dyDescent="0.25">
      <c r="B53" t="str">
        <f t="shared" si="7"/>
        <v>P5</v>
      </c>
      <c r="C53">
        <f t="shared" si="4"/>
        <v>50</v>
      </c>
      <c r="D53">
        <f t="shared" si="5"/>
        <v>-20</v>
      </c>
      <c r="E53">
        <f t="shared" si="6"/>
        <v>0</v>
      </c>
      <c r="G53" s="6">
        <f>0</f>
        <v>0</v>
      </c>
      <c r="H53" s="6">
        <f>1/H49</f>
        <v>0.01</v>
      </c>
      <c r="I53">
        <f>-I49/(H49*I50)</f>
        <v>-6.1257422745431004E-19</v>
      </c>
    </row>
    <row r="54" spans="1:13" ht="15" customHeight="1" x14ac:dyDescent="0.25">
      <c r="B54" t="str">
        <f t="shared" si="7"/>
        <v>P6</v>
      </c>
      <c r="C54">
        <f t="shared" si="4"/>
        <v>120</v>
      </c>
      <c r="D54">
        <f t="shared" si="5"/>
        <v>50</v>
      </c>
      <c r="E54">
        <f t="shared" si="6"/>
        <v>0</v>
      </c>
      <c r="G54" s="6">
        <f>0</f>
        <v>0</v>
      </c>
      <c r="H54">
        <f>0</f>
        <v>0</v>
      </c>
      <c r="I54" s="6">
        <f>1/I50</f>
        <v>3.3333333333333335E-3</v>
      </c>
    </row>
    <row r="55" spans="1:13" ht="15" customHeight="1" x14ac:dyDescent="0.25">
      <c r="B55" t="str">
        <f t="shared" si="7"/>
        <v>P7</v>
      </c>
      <c r="C55">
        <f t="shared" si="4"/>
        <v>50.000000000000007</v>
      </c>
      <c r="D55">
        <f t="shared" si="5"/>
        <v>120</v>
      </c>
      <c r="E55">
        <f t="shared" si="6"/>
        <v>0</v>
      </c>
      <c r="G55" s="6"/>
      <c r="I55" s="6"/>
    </row>
    <row r="56" spans="1:13" ht="15" customHeight="1" x14ac:dyDescent="0.25">
      <c r="B56" t="str">
        <f t="shared" si="7"/>
        <v>P8</v>
      </c>
      <c r="C56">
        <f t="shared" si="4"/>
        <v>-19.999999999999996</v>
      </c>
      <c r="D56">
        <f t="shared" si="5"/>
        <v>50</v>
      </c>
      <c r="E56">
        <f t="shared" si="6"/>
        <v>0</v>
      </c>
      <c r="G56" s="6"/>
      <c r="I56" s="6"/>
    </row>
    <row r="57" spans="1:13" ht="15" customHeight="1" x14ac:dyDescent="0.25">
      <c r="A57" t="s">
        <v>203</v>
      </c>
      <c r="B57" t="s">
        <v>204</v>
      </c>
      <c r="C57">
        <f>AVERAGE(C49:C56)</f>
        <v>50.000000000000014</v>
      </c>
      <c r="D57">
        <f>AVERAGE(D49:D56)</f>
        <v>50.000000000000014</v>
      </c>
      <c r="E57">
        <f>AVERAGE(E49:E56)</f>
        <v>150</v>
      </c>
      <c r="G57" s="6"/>
      <c r="I57" s="6"/>
    </row>
    <row r="58" spans="1:13" ht="15" customHeight="1" x14ac:dyDescent="0.25">
      <c r="G58" s="6"/>
    </row>
    <row r="59" spans="1:13" ht="15" customHeight="1" x14ac:dyDescent="0.25">
      <c r="A59" s="12" t="s">
        <v>84</v>
      </c>
      <c r="G59" s="6"/>
    </row>
    <row r="60" spans="1:13" ht="15" customHeight="1" x14ac:dyDescent="0.25">
      <c r="A60" s="30" t="s">
        <v>211</v>
      </c>
      <c r="B60" t="s">
        <v>208</v>
      </c>
      <c r="C60">
        <f>C48-C$57</f>
        <v>0</v>
      </c>
      <c r="D60">
        <f t="shared" ref="D60:E64" si="8">D48-D$57</f>
        <v>0</v>
      </c>
      <c r="E60">
        <f t="shared" si="8"/>
        <v>0</v>
      </c>
      <c r="G60" s="6" t="s">
        <v>209</v>
      </c>
      <c r="H60">
        <f>SQRT(POWER(C60,2)+POWER(D60,2)+POWER(E60,2))</f>
        <v>0</v>
      </c>
    </row>
    <row r="61" spans="1:13" ht="15" customHeight="1" x14ac:dyDescent="0.25">
      <c r="A61" s="4" t="s">
        <v>212</v>
      </c>
      <c r="B61" s="7" t="s">
        <v>36</v>
      </c>
      <c r="C61">
        <f>C49-C$57</f>
        <v>50</v>
      </c>
      <c r="D61">
        <f t="shared" si="8"/>
        <v>-49.999999999999993</v>
      </c>
      <c r="E61">
        <f t="shared" si="8"/>
        <v>150</v>
      </c>
      <c r="G61" s="6" t="s">
        <v>34</v>
      </c>
      <c r="H61">
        <f t="shared" ref="H61:H68" si="9">SQRT(POWER(C61,2)+POWER(D61,2)+POWER(E61,2))</f>
        <v>165.83123951777</v>
      </c>
      <c r="J61" s="4" t="s">
        <v>314</v>
      </c>
      <c r="K61">
        <f>AVERAGE(H61:H68)</f>
        <v>165.68034654511925</v>
      </c>
    </row>
    <row r="62" spans="1:13" ht="15" customHeight="1" x14ac:dyDescent="0.25">
      <c r="A62" s="4" t="s">
        <v>213</v>
      </c>
      <c r="B62" s="7" t="s">
        <v>39</v>
      </c>
      <c r="C62">
        <f>C50-C$57</f>
        <v>50</v>
      </c>
      <c r="D62">
        <f t="shared" si="8"/>
        <v>50</v>
      </c>
      <c r="E62">
        <f t="shared" si="8"/>
        <v>150</v>
      </c>
      <c r="G62" s="6" t="s">
        <v>37</v>
      </c>
      <c r="H62">
        <f t="shared" si="9"/>
        <v>165.83123951777</v>
      </c>
      <c r="J62" s="4"/>
    </row>
    <row r="63" spans="1:13" ht="15" customHeight="1" x14ac:dyDescent="0.25">
      <c r="A63" s="4" t="s">
        <v>214</v>
      </c>
      <c r="B63" s="7" t="s">
        <v>42</v>
      </c>
      <c r="C63">
        <f>C51-C$57</f>
        <v>-49.999999999999993</v>
      </c>
      <c r="D63">
        <f t="shared" si="8"/>
        <v>50</v>
      </c>
      <c r="E63">
        <f t="shared" si="8"/>
        <v>150</v>
      </c>
      <c r="G63" s="6" t="s">
        <v>40</v>
      </c>
      <c r="H63">
        <f t="shared" si="9"/>
        <v>165.83123951777</v>
      </c>
    </row>
    <row r="64" spans="1:13" ht="15" customHeight="1" x14ac:dyDescent="0.25">
      <c r="A64" s="4" t="s">
        <v>215</v>
      </c>
      <c r="B64" s="7" t="s">
        <v>45</v>
      </c>
      <c r="C64">
        <f>C52-C$57</f>
        <v>-49.999999999999993</v>
      </c>
      <c r="D64">
        <f t="shared" si="8"/>
        <v>-49.999999999999993</v>
      </c>
      <c r="E64">
        <f t="shared" si="8"/>
        <v>150</v>
      </c>
      <c r="G64" s="6" t="s">
        <v>43</v>
      </c>
      <c r="H64">
        <f t="shared" si="9"/>
        <v>165.83123951777</v>
      </c>
    </row>
    <row r="65" spans="1:12" ht="15" customHeight="1" x14ac:dyDescent="0.25">
      <c r="A65" s="4" t="s">
        <v>216</v>
      </c>
      <c r="B65" s="7" t="s">
        <v>48</v>
      </c>
      <c r="C65">
        <f t="shared" ref="C65:E68" si="10">C53-C$57</f>
        <v>0</v>
      </c>
      <c r="D65">
        <f t="shared" si="10"/>
        <v>-70.000000000000014</v>
      </c>
      <c r="E65">
        <f t="shared" si="10"/>
        <v>-150</v>
      </c>
      <c r="G65" s="6" t="s">
        <v>46</v>
      </c>
      <c r="H65">
        <f t="shared" si="9"/>
        <v>165.5294535724685</v>
      </c>
    </row>
    <row r="66" spans="1:12" ht="15" customHeight="1" x14ac:dyDescent="0.25">
      <c r="A66" s="4" t="s">
        <v>217</v>
      </c>
      <c r="B66" s="7" t="s">
        <v>102</v>
      </c>
      <c r="C66">
        <f t="shared" si="10"/>
        <v>69.999999999999986</v>
      </c>
      <c r="D66">
        <f t="shared" si="10"/>
        <v>0</v>
      </c>
      <c r="E66">
        <f t="shared" si="10"/>
        <v>-150</v>
      </c>
      <c r="G66" s="6" t="s">
        <v>49</v>
      </c>
      <c r="H66">
        <f t="shared" si="9"/>
        <v>165.5294535724685</v>
      </c>
    </row>
    <row r="67" spans="1:12" ht="15" customHeight="1" x14ac:dyDescent="0.25">
      <c r="A67" s="4" t="s">
        <v>218</v>
      </c>
      <c r="B67" s="7" t="s">
        <v>122</v>
      </c>
      <c r="C67">
        <f t="shared" si="10"/>
        <v>0</v>
      </c>
      <c r="D67">
        <f t="shared" si="10"/>
        <v>69.999999999999986</v>
      </c>
      <c r="E67">
        <f t="shared" si="10"/>
        <v>-150</v>
      </c>
      <c r="G67" s="6" t="s">
        <v>136</v>
      </c>
      <c r="H67">
        <f t="shared" si="9"/>
        <v>165.5294535724685</v>
      </c>
    </row>
    <row r="68" spans="1:12" ht="15" customHeight="1" x14ac:dyDescent="0.25">
      <c r="A68" s="4" t="s">
        <v>219</v>
      </c>
      <c r="B68" s="7" t="s">
        <v>123</v>
      </c>
      <c r="C68">
        <f t="shared" si="10"/>
        <v>-70.000000000000014</v>
      </c>
      <c r="D68">
        <f t="shared" si="10"/>
        <v>0</v>
      </c>
      <c r="E68">
        <f t="shared" si="10"/>
        <v>-150</v>
      </c>
      <c r="G68" s="6" t="s">
        <v>137</v>
      </c>
      <c r="H68">
        <f t="shared" si="9"/>
        <v>165.5294535724685</v>
      </c>
    </row>
    <row r="69" spans="1:12" ht="15" customHeight="1" x14ac:dyDescent="0.25"/>
    <row r="70" spans="1:12" ht="15" customHeight="1" x14ac:dyDescent="0.25">
      <c r="A70" s="17" t="s">
        <v>157</v>
      </c>
      <c r="B70" s="7" t="str">
        <f t="shared" ref="B70:B77" si="11">B61</f>
        <v>vector P1</v>
      </c>
      <c r="C70">
        <f t="shared" ref="C70:E77" si="12">C61/$K$61</f>
        <v>0.30178594530150649</v>
      </c>
      <c r="D70">
        <f t="shared" si="12"/>
        <v>-0.30178594530150649</v>
      </c>
      <c r="E70">
        <f t="shared" si="12"/>
        <v>0.90535783590451946</v>
      </c>
      <c r="G70" s="6" t="s">
        <v>34</v>
      </c>
      <c r="H70">
        <f t="shared" ref="H70:H77" si="13">SQRT(POWER(C70,2)+POWER(D70,2)+POWER(E70,2))</f>
        <v>1.0009107475678152</v>
      </c>
      <c r="J70" s="4" t="s">
        <v>314</v>
      </c>
      <c r="K70">
        <f>AVERAGE(H70:H77)</f>
        <v>1</v>
      </c>
    </row>
    <row r="71" spans="1:12" ht="15" customHeight="1" x14ac:dyDescent="0.25">
      <c r="A71" s="4"/>
      <c r="B71" s="7" t="str">
        <f t="shared" si="11"/>
        <v>vector P2</v>
      </c>
      <c r="C71">
        <f t="shared" si="12"/>
        <v>0.30178594530150649</v>
      </c>
      <c r="D71">
        <f t="shared" si="12"/>
        <v>0.30178594530150649</v>
      </c>
      <c r="E71">
        <f t="shared" si="12"/>
        <v>0.90535783590451946</v>
      </c>
      <c r="G71" s="6" t="s">
        <v>37</v>
      </c>
      <c r="H71">
        <f t="shared" si="13"/>
        <v>1.0009107475678152</v>
      </c>
      <c r="J71" s="4"/>
    </row>
    <row r="72" spans="1:12" ht="15" customHeight="1" x14ac:dyDescent="0.25">
      <c r="A72" s="4"/>
      <c r="B72" s="7" t="str">
        <f t="shared" si="11"/>
        <v>vector P3</v>
      </c>
      <c r="C72">
        <f t="shared" si="12"/>
        <v>-0.30178594530150649</v>
      </c>
      <c r="D72">
        <f t="shared" si="12"/>
        <v>0.30178594530150649</v>
      </c>
      <c r="E72">
        <f t="shared" si="12"/>
        <v>0.90535783590451946</v>
      </c>
      <c r="G72" s="6" t="s">
        <v>40</v>
      </c>
      <c r="H72">
        <f t="shared" si="13"/>
        <v>1.0009107475678152</v>
      </c>
    </row>
    <row r="73" spans="1:12" ht="15" customHeight="1" x14ac:dyDescent="0.25">
      <c r="A73" s="4"/>
      <c r="B73" s="7" t="str">
        <f t="shared" si="11"/>
        <v>vector P4</v>
      </c>
      <c r="C73">
        <f t="shared" si="12"/>
        <v>-0.30178594530150649</v>
      </c>
      <c r="D73">
        <f t="shared" si="12"/>
        <v>-0.30178594530150649</v>
      </c>
      <c r="E73">
        <f t="shared" si="12"/>
        <v>0.90535783590451946</v>
      </c>
      <c r="G73" s="6" t="s">
        <v>43</v>
      </c>
      <c r="H73">
        <f t="shared" si="13"/>
        <v>1.0009107475678152</v>
      </c>
    </row>
    <row r="74" spans="1:12" ht="15" customHeight="1" x14ac:dyDescent="0.25">
      <c r="A74" s="4"/>
      <c r="B74" s="7" t="str">
        <f t="shared" si="11"/>
        <v>vector P5</v>
      </c>
      <c r="C74">
        <f t="shared" si="12"/>
        <v>0</v>
      </c>
      <c r="D74">
        <f t="shared" si="12"/>
        <v>-0.42250032342210919</v>
      </c>
      <c r="E74">
        <f t="shared" si="12"/>
        <v>-0.90535783590451946</v>
      </c>
      <c r="G74" s="6" t="s">
        <v>46</v>
      </c>
      <c r="H74">
        <f t="shared" si="13"/>
        <v>0.99908925243218472</v>
      </c>
    </row>
    <row r="75" spans="1:12" ht="15" customHeight="1" x14ac:dyDescent="0.25">
      <c r="B75" s="7" t="str">
        <f t="shared" si="11"/>
        <v>vector P6</v>
      </c>
      <c r="C75">
        <f t="shared" si="12"/>
        <v>0.42250032342210903</v>
      </c>
      <c r="D75">
        <f t="shared" si="12"/>
        <v>0</v>
      </c>
      <c r="E75">
        <f t="shared" si="12"/>
        <v>-0.90535783590451946</v>
      </c>
      <c r="G75" s="6" t="s">
        <v>49</v>
      </c>
      <c r="H75">
        <f t="shared" si="13"/>
        <v>0.9990892524321846</v>
      </c>
    </row>
    <row r="76" spans="1:12" ht="15" customHeight="1" x14ac:dyDescent="0.25">
      <c r="B76" s="7" t="str">
        <f t="shared" si="11"/>
        <v>vector P7</v>
      </c>
      <c r="C76">
        <f t="shared" si="12"/>
        <v>0</v>
      </c>
      <c r="D76">
        <f t="shared" si="12"/>
        <v>0.42250032342210903</v>
      </c>
      <c r="E76">
        <f t="shared" si="12"/>
        <v>-0.90535783590451946</v>
      </c>
      <c r="G76" s="6" t="str">
        <f>G67</f>
        <v>length of vector P7</v>
      </c>
      <c r="H76">
        <f t="shared" si="13"/>
        <v>0.9990892524321846</v>
      </c>
    </row>
    <row r="77" spans="1:12" ht="15" customHeight="1" x14ac:dyDescent="0.25">
      <c r="B77" s="7" t="str">
        <f t="shared" si="11"/>
        <v>vector P8</v>
      </c>
      <c r="C77">
        <f t="shared" si="12"/>
        <v>-0.42250032342210919</v>
      </c>
      <c r="D77">
        <f t="shared" si="12"/>
        <v>0</v>
      </c>
      <c r="E77">
        <f t="shared" si="12"/>
        <v>-0.90535783590451946</v>
      </c>
      <c r="G77" s="6" t="str">
        <f>G68</f>
        <v>length of vector P8</v>
      </c>
      <c r="H77">
        <f t="shared" si="13"/>
        <v>0.99908925243218472</v>
      </c>
    </row>
    <row r="78" spans="1:12" ht="15" customHeight="1" x14ac:dyDescent="0.25"/>
    <row r="79" spans="1:12" ht="15" customHeight="1" x14ac:dyDescent="0.25">
      <c r="A79" s="19" t="s">
        <v>333</v>
      </c>
      <c r="B79" s="7"/>
      <c r="C79" t="s">
        <v>63</v>
      </c>
      <c r="D79" t="s">
        <v>64</v>
      </c>
      <c r="E79" t="s">
        <v>65</v>
      </c>
      <c r="J79" t="s">
        <v>87</v>
      </c>
      <c r="K79" t="s">
        <v>88</v>
      </c>
    </row>
    <row r="80" spans="1:12" ht="15" customHeight="1" x14ac:dyDescent="0.25">
      <c r="B80" s="7" t="str">
        <f t="shared" ref="B80:B87" si="14">E11</f>
        <v>P1*</v>
      </c>
      <c r="C80">
        <f>SIN($I$25)*COS($I$26)</f>
        <v>0.30028277191793806</v>
      </c>
      <c r="D80">
        <f>SIN($I$25)*SIN($I$26)</f>
        <v>-0.30027774411408337</v>
      </c>
      <c r="E80">
        <f>COS($I$25)</f>
        <v>0.90535271208465307</v>
      </c>
      <c r="G80" s="6" t="s">
        <v>66</v>
      </c>
      <c r="H80">
        <f t="shared" ref="H80:H87" si="15">SQRT(POWER(C80,2)+POWER(D80,2)+POWER(E80,2))</f>
        <v>1</v>
      </c>
      <c r="I80" s="6"/>
      <c r="J80">
        <f t="shared" ref="J80:J87" si="16">ACOS((C80*C81+D80*D81+E80*E81)/(SQRT(C80^2+D80^2+E80^2)*SQRT(C81^2+D81^2+E81^2)))</f>
        <v>0.60996920270592025</v>
      </c>
      <c r="K80">
        <f t="shared" ref="K80:K87" si="17">DEGREES(J80)</f>
        <v>34.948660948009021</v>
      </c>
      <c r="L80" t="s">
        <v>80</v>
      </c>
    </row>
    <row r="81" spans="1:15" ht="15" customHeight="1" x14ac:dyDescent="0.25">
      <c r="B81" s="7" t="str">
        <f t="shared" si="14"/>
        <v>P2*</v>
      </c>
      <c r="C81">
        <f>C80*$C$98+D80*$D$98+E80*$E$98</f>
        <v>0.30027774414488201</v>
      </c>
      <c r="D81">
        <f>C80*$C$99+D80*$D$99+E80*$E$99</f>
        <v>0.30027923030593623</v>
      </c>
      <c r="E81">
        <f>C80*$C$100+D80*$D$100+E80*$E$100</f>
        <v>0.90535388673056216</v>
      </c>
      <c r="G81" s="6" t="s">
        <v>67</v>
      </c>
      <c r="H81">
        <f t="shared" si="15"/>
        <v>1</v>
      </c>
      <c r="J81">
        <f t="shared" si="16"/>
        <v>0.60996920270592025</v>
      </c>
      <c r="K81">
        <f t="shared" si="17"/>
        <v>34.948660948009021</v>
      </c>
      <c r="L81" t="s">
        <v>81</v>
      </c>
    </row>
    <row r="82" spans="1:15" ht="15" customHeight="1" x14ac:dyDescent="0.25">
      <c r="B82" s="7" t="str">
        <f t="shared" si="14"/>
        <v>P3*</v>
      </c>
      <c r="C82">
        <f>C81*$C$98+D81*$D$98+E81*$E$98</f>
        <v>-0.30027923027513759</v>
      </c>
      <c r="D82">
        <f>C81*$C$99+D81*$D$99+E81*$E$99</f>
        <v>0.30027420253058268</v>
      </c>
      <c r="E82">
        <f>C81*$C$100+D81*$D$100+E81*$E$100</f>
        <v>0.90535506137647126</v>
      </c>
      <c r="G82" s="6" t="s">
        <v>68</v>
      </c>
      <c r="H82">
        <f t="shared" si="15"/>
        <v>1.0000000000000002</v>
      </c>
      <c r="J82">
        <f t="shared" si="16"/>
        <v>0.60996920270592037</v>
      </c>
      <c r="K82">
        <f t="shared" si="17"/>
        <v>34.948660948009028</v>
      </c>
      <c r="L82" t="s">
        <v>89</v>
      </c>
    </row>
    <row r="83" spans="1:15" ht="15" customHeight="1" x14ac:dyDescent="0.25">
      <c r="B83" s="7" t="str">
        <f t="shared" si="14"/>
        <v>P4*</v>
      </c>
      <c r="C83">
        <f>C82*$C$98+D82*$D$98+E82*$E$98</f>
        <v>-0.30027420250208159</v>
      </c>
      <c r="D83">
        <f>C82*$C$99+D82*$D$99+E82*$E$99</f>
        <v>-0.30028277188943697</v>
      </c>
      <c r="E83">
        <f>C82*$C$100+D82*$D$100+E82*$E$100</f>
        <v>0.90535388673056238</v>
      </c>
      <c r="G83" s="6" t="s">
        <v>69</v>
      </c>
      <c r="H83">
        <f>SQRT(POWER(C83,2)+POWER(D83,2)+POWER(E83,2))</f>
        <v>1.0000000000000004</v>
      </c>
      <c r="J83">
        <f t="shared" si="16"/>
        <v>2.3352600324167279</v>
      </c>
      <c r="K83">
        <f t="shared" si="17"/>
        <v>133.80054392306232</v>
      </c>
      <c r="L83" t="s">
        <v>90</v>
      </c>
    </row>
    <row r="84" spans="1:15" ht="15" customHeight="1" x14ac:dyDescent="0.25">
      <c r="B84" s="7" t="str">
        <f t="shared" si="14"/>
        <v>P5*</v>
      </c>
      <c r="C84">
        <f>C92*C94+D92*D94+E92*E94</f>
        <v>1.7843510220438412E-6</v>
      </c>
      <c r="D84">
        <f>C92*C95+D92*D95+E92*E95</f>
        <v>-0.42465613830951965</v>
      </c>
      <c r="E84">
        <f>C92*C96+D92*D96+E92*E96</f>
        <v>-0.90535471733065054</v>
      </c>
      <c r="G84" s="6" t="s">
        <v>70</v>
      </c>
      <c r="H84">
        <f>SQRT(POWER(C84,2)+POWER(D84,2)+POWER(E84,2))</f>
        <v>1</v>
      </c>
      <c r="J84">
        <f t="shared" si="16"/>
        <v>0.60996920270591792</v>
      </c>
      <c r="K84">
        <f t="shared" si="17"/>
        <v>34.948660948008893</v>
      </c>
      <c r="L84" t="s">
        <v>91</v>
      </c>
    </row>
    <row r="85" spans="1:15" ht="15" customHeight="1" x14ac:dyDescent="0.25">
      <c r="B85" s="7" t="str">
        <f t="shared" si="14"/>
        <v>P6*</v>
      </c>
      <c r="C85">
        <f>C84*$C$98+D84*$D$98+E84*$E$98</f>
        <v>0.42465613827986975</v>
      </c>
      <c r="D85">
        <f>C84*$C$99+D84*$D$99+E84*$E$99</f>
        <v>5.325965797216476E-6</v>
      </c>
      <c r="E85">
        <f>C84*$C$100+D84*$D$100+E84*$E$100</f>
        <v>-0.90535471733065065</v>
      </c>
      <c r="G85" s="6" t="s">
        <v>71</v>
      </c>
      <c r="H85">
        <f t="shared" si="15"/>
        <v>1</v>
      </c>
      <c r="J85">
        <f t="shared" si="16"/>
        <v>0.6099692027059177</v>
      </c>
      <c r="K85">
        <f t="shared" si="17"/>
        <v>34.948660948008879</v>
      </c>
      <c r="L85" t="s">
        <v>92</v>
      </c>
    </row>
    <row r="86" spans="1:15" ht="15" customHeight="1" x14ac:dyDescent="0.25">
      <c r="B86" s="7" t="str">
        <f t="shared" si="14"/>
        <v>P7*</v>
      </c>
      <c r="C86">
        <f>C85*$C$98+D85*$D$98+E85*$E$98</f>
        <v>-5.3259938224586118E-6</v>
      </c>
      <c r="D86">
        <f>C85*$C$99+D85*$D$99+E85*$E$99</f>
        <v>0.42465967989302039</v>
      </c>
      <c r="E86">
        <f>C85*$C$100+D85*$D$100+E85*$E$100</f>
        <v>-0.90535305613047534</v>
      </c>
      <c r="G86" s="6" t="s">
        <v>143</v>
      </c>
      <c r="H86">
        <f t="shared" si="15"/>
        <v>1.0000000000000002</v>
      </c>
      <c r="J86">
        <f t="shared" si="16"/>
        <v>0.6099692027059177</v>
      </c>
      <c r="K86">
        <f t="shared" si="17"/>
        <v>34.948660948008879</v>
      </c>
      <c r="L86" t="s">
        <v>151</v>
      </c>
    </row>
    <row r="87" spans="1:15" ht="15" customHeight="1" x14ac:dyDescent="0.25">
      <c r="B87" s="7" t="str">
        <f t="shared" si="14"/>
        <v>P8*</v>
      </c>
      <c r="C87">
        <f>C86*$C$98+D86*$D$98+E86*$E$98</f>
        <v>-0.42465967992267023</v>
      </c>
      <c r="D87">
        <f>C86*$C$99+D86*$D$99+E86*$E$99</f>
        <v>-1.7843822964210761E-6</v>
      </c>
      <c r="E87">
        <f>C86*$C$100+D86*$D$100+E86*$E$100</f>
        <v>-0.90535305613047545</v>
      </c>
      <c r="G87" s="6" t="s">
        <v>144</v>
      </c>
      <c r="H87">
        <f t="shared" si="15"/>
        <v>1.0000000000000002</v>
      </c>
      <c r="J87" t="e">
        <f t="shared" si="16"/>
        <v>#DIV/0!</v>
      </c>
      <c r="K87" t="e">
        <f t="shared" si="17"/>
        <v>#DIV/0!</v>
      </c>
      <c r="L87" t="s">
        <v>168</v>
      </c>
    </row>
    <row r="88" spans="1:15" ht="15" customHeight="1" x14ac:dyDescent="0.25">
      <c r="B88" s="7"/>
      <c r="G88" s="6"/>
    </row>
    <row r="89" spans="1:15" ht="15" customHeight="1" x14ac:dyDescent="0.25">
      <c r="A89" s="67" t="s">
        <v>308</v>
      </c>
      <c r="B89" s="7" t="s">
        <v>187</v>
      </c>
      <c r="C89">
        <f>SIN($I$25-(PI()-I28)/2)*COS($I$26)</f>
        <v>1.9559438868942842E-6</v>
      </c>
      <c r="D89">
        <f>SIN($I$25-((PI()-I28)/2))*SIN($I$26)</f>
        <v>-1.9559111374223402E-6</v>
      </c>
      <c r="E89">
        <f>COS($I$25-((PI()-I28)/2))</f>
        <v>0.99999999999617439</v>
      </c>
      <c r="G89" s="6"/>
      <c r="O89" s="6"/>
    </row>
    <row r="90" spans="1:15" ht="15" customHeight="1" x14ac:dyDescent="0.25">
      <c r="A90" s="68"/>
      <c r="B90" s="7"/>
      <c r="G90" s="6"/>
    </row>
    <row r="91" spans="1:15" ht="15" customHeight="1" x14ac:dyDescent="0.25">
      <c r="B91" s="7"/>
      <c r="G91" s="6"/>
    </row>
    <row r="92" spans="1:15" ht="15" customHeight="1" x14ac:dyDescent="0.25">
      <c r="A92" s="19" t="s">
        <v>309</v>
      </c>
      <c r="B92" s="7" t="s">
        <v>380</v>
      </c>
      <c r="C92">
        <f>SIN($I$25+I28)*COS($I$26)</f>
        <v>0.30027923027513637</v>
      </c>
      <c r="D92">
        <f>SIN($I$25+I28)*SIN($I$26)</f>
        <v>-0.30027420253058135</v>
      </c>
      <c r="E92">
        <f>COS($I$25+I28)</f>
        <v>-0.90535506137647181</v>
      </c>
      <c r="G92" s="6"/>
    </row>
    <row r="93" spans="1:15" ht="15" customHeight="1" x14ac:dyDescent="0.25">
      <c r="B93" s="7"/>
      <c r="G93" s="6"/>
    </row>
    <row r="94" spans="1:15" ht="15" customHeight="1" x14ac:dyDescent="0.25">
      <c r="A94" s="67" t="s">
        <v>180</v>
      </c>
      <c r="C94">
        <f>(C89^2)*(1-COS(G95))+COS(G95)</f>
        <v>0.70710678118766812</v>
      </c>
      <c r="D94">
        <f>C89*D89*(1-COS(G95))-E89*SIN(G95)</f>
        <v>0.70710678118272186</v>
      </c>
      <c r="E94">
        <f>C89*E89*(1-COS(G95))+D89*SIN(G95)</f>
        <v>1.9559207295184006E-6</v>
      </c>
      <c r="G94" s="6" t="s">
        <v>189</v>
      </c>
      <c r="H94" t="s">
        <v>188</v>
      </c>
    </row>
    <row r="95" spans="1:15" ht="15" customHeight="1" x14ac:dyDescent="0.25">
      <c r="A95" s="68"/>
      <c r="B95" t="s">
        <v>366</v>
      </c>
      <c r="C95">
        <f>D89*C89*(1-COS(G95))+E89*SIN(G95)</f>
        <v>-0.70710678118496295</v>
      </c>
      <c r="D95">
        <f>(D89^2)*(1-COS(G95))+COS(G95)</f>
        <v>0.70710678118766801</v>
      </c>
      <c r="E95">
        <f>D89*E89*(1-COS(G95))-C89*SIN(G95)</f>
        <v>8.1018807729280324E-7</v>
      </c>
      <c r="G95" s="6">
        <f>RADIANS(H95)</f>
        <v>-0.78539816339744828</v>
      </c>
      <c r="H95">
        <v>-45</v>
      </c>
    </row>
    <row r="96" spans="1:15" ht="15" customHeight="1" x14ac:dyDescent="0.25">
      <c r="C96">
        <f>E89*C89*(1-COS(G95))-D89*SIN(G95)</f>
        <v>-8.1015532782085935E-7</v>
      </c>
      <c r="D96">
        <f>D89*E89*(1-COS(G95))+C89*SIN(G95)</f>
        <v>-1.95593429479384E-6</v>
      </c>
      <c r="E96">
        <f>(E89^2)*(1-COS(G95))+COS(G95)</f>
        <v>0.99999999999775901</v>
      </c>
      <c r="G96" s="6"/>
    </row>
    <row r="97" spans="1:8" ht="15" customHeight="1" x14ac:dyDescent="0.25">
      <c r="G97" s="6"/>
    </row>
    <row r="98" spans="1:8" ht="15" customHeight="1" x14ac:dyDescent="0.25">
      <c r="A98" s="67" t="s">
        <v>180</v>
      </c>
      <c r="C98">
        <f>(C89^2)*(1-COS(G99))+COS(G99)</f>
        <v>3.8257777461018647E-12</v>
      </c>
      <c r="D98">
        <f>C89*D89*(1-COS(G99))-E89*SIN(G99)</f>
        <v>-1</v>
      </c>
      <c r="E98">
        <f>C89*E89*(1-COS(G99))+D89*SIN(G99)</f>
        <v>3.2749464460882048E-11</v>
      </c>
      <c r="G98" s="6" t="s">
        <v>189</v>
      </c>
      <c r="H98" t="s">
        <v>188</v>
      </c>
    </row>
    <row r="99" spans="1:8" ht="15" customHeight="1" x14ac:dyDescent="0.25">
      <c r="A99" s="68"/>
      <c r="B99" t="s">
        <v>365</v>
      </c>
      <c r="C99">
        <f>D89*C89*(1-COS(G99))+E89*SIN(G99)</f>
        <v>0.99999999999234879</v>
      </c>
      <c r="D99">
        <f>(D89^2)*(1-COS(G99))+COS(G99)</f>
        <v>3.8256496349154969E-12</v>
      </c>
      <c r="E99">
        <f>D89*E89*(1-COS(G99))-C89*SIN(G99)</f>
        <v>-3.9118550243091417E-6</v>
      </c>
      <c r="G99" s="6">
        <f>RADIANS(H99)</f>
        <v>1.5707963267948966</v>
      </c>
      <c r="H99">
        <v>90</v>
      </c>
    </row>
    <row r="100" spans="1:8" ht="15" customHeight="1" x14ac:dyDescent="0.25">
      <c r="C100">
        <f>E89*C89*(1-COS(G99))-D89*SIN(G99)</f>
        <v>3.9118550243091417E-6</v>
      </c>
      <c r="D100">
        <f>D89*E89*(1-COS(G99))+C89*SIN(G99)</f>
        <v>3.2749479427107193E-11</v>
      </c>
      <c r="E100">
        <f>(E89^2)*(1-COS(G99))+COS(G99)</f>
        <v>0.99999999999234879</v>
      </c>
      <c r="G100" s="6"/>
    </row>
    <row r="101" spans="1:8" ht="15" customHeight="1" x14ac:dyDescent="0.25"/>
    <row r="102" spans="1:8" ht="15" customHeight="1" x14ac:dyDescent="0.25">
      <c r="A102" s="12" t="s">
        <v>86</v>
      </c>
      <c r="B102" s="7" t="s">
        <v>73</v>
      </c>
      <c r="C102">
        <f t="shared" ref="C102:E109" si="18">C80-C70</f>
        <v>-1.5031733835684236E-3</v>
      </c>
      <c r="D102">
        <f t="shared" si="18"/>
        <v>1.5082011874231194E-3</v>
      </c>
      <c r="E102">
        <f t="shared" si="18"/>
        <v>-5.1238198663927648E-6</v>
      </c>
      <c r="G102" s="6" t="s">
        <v>78</v>
      </c>
      <c r="H102">
        <f t="shared" ref="H102:H109" si="19">SQRT(POWER(C102,2)+POWER(D102,2)+POWER(E102,2))</f>
        <v>2.1293725123479627E-3</v>
      </c>
    </row>
    <row r="103" spans="1:8" ht="15" customHeight="1" x14ac:dyDescent="0.25">
      <c r="B103" s="7" t="s">
        <v>74</v>
      </c>
      <c r="C103">
        <f t="shared" si="18"/>
        <v>-1.508201156624478E-3</v>
      </c>
      <c r="D103">
        <f t="shared" si="18"/>
        <v>-1.5067149955702575E-3</v>
      </c>
      <c r="E103">
        <f t="shared" si="18"/>
        <v>-3.9491739572961038E-6</v>
      </c>
      <c r="G103" s="6" t="s">
        <v>78</v>
      </c>
      <c r="H103">
        <f t="shared" si="19"/>
        <v>2.1318715727488462E-3</v>
      </c>
    </row>
    <row r="104" spans="1:8" ht="15" customHeight="1" x14ac:dyDescent="0.25">
      <c r="B104" s="7" t="s">
        <v>75</v>
      </c>
      <c r="C104">
        <f t="shared" si="18"/>
        <v>1.5067150263688989E-3</v>
      </c>
      <c r="D104">
        <f t="shared" si="18"/>
        <v>-1.5117427709238074E-3</v>
      </c>
      <c r="E104">
        <f t="shared" si="18"/>
        <v>-2.7745280481994428E-6</v>
      </c>
      <c r="G104" s="6" t="s">
        <v>78</v>
      </c>
      <c r="H104">
        <f t="shared" si="19"/>
        <v>2.1343767413772368E-3</v>
      </c>
    </row>
    <row r="105" spans="1:8" ht="15" customHeight="1" x14ac:dyDescent="0.25">
      <c r="B105" s="7" t="s">
        <v>76</v>
      </c>
      <c r="C105">
        <f t="shared" si="18"/>
        <v>1.5117427994248978E-3</v>
      </c>
      <c r="D105">
        <f t="shared" si="18"/>
        <v>1.5031734120695139E-3</v>
      </c>
      <c r="E105">
        <f t="shared" si="18"/>
        <v>-3.9491739570740592E-6</v>
      </c>
      <c r="G105" s="6" t="s">
        <v>78</v>
      </c>
      <c r="H105">
        <f t="shared" si="19"/>
        <v>2.1318799671512169E-3</v>
      </c>
    </row>
    <row r="106" spans="1:8" ht="15" customHeight="1" x14ac:dyDescent="0.25">
      <c r="B106" s="7" t="s">
        <v>77</v>
      </c>
      <c r="C106">
        <f t="shared" si="18"/>
        <v>1.7843510220438412E-6</v>
      </c>
      <c r="D106">
        <f t="shared" si="18"/>
        <v>-2.1558148874104566E-3</v>
      </c>
      <c r="E106">
        <f t="shared" si="18"/>
        <v>3.1185738689210041E-6</v>
      </c>
      <c r="G106" s="6" t="s">
        <v>78</v>
      </c>
      <c r="H106">
        <f t="shared" si="19"/>
        <v>2.1558178814992945E-3</v>
      </c>
    </row>
    <row r="107" spans="1:8" ht="15" customHeight="1" x14ac:dyDescent="0.25">
      <c r="B107" s="7" t="s">
        <v>103</v>
      </c>
      <c r="C107">
        <f t="shared" si="18"/>
        <v>2.1558148577607295E-3</v>
      </c>
      <c r="D107">
        <f t="shared" si="18"/>
        <v>5.325965797216476E-6</v>
      </c>
      <c r="E107">
        <f t="shared" si="18"/>
        <v>3.1185738688099818E-6</v>
      </c>
      <c r="G107" s="6" t="s">
        <v>78</v>
      </c>
      <c r="H107">
        <f t="shared" si="19"/>
        <v>2.1558236923172919E-3</v>
      </c>
    </row>
    <row r="108" spans="1:8" ht="15" customHeight="1" x14ac:dyDescent="0.25">
      <c r="B108" s="7" t="s">
        <v>170</v>
      </c>
      <c r="C108">
        <f t="shared" si="18"/>
        <v>-5.3259938224586118E-6</v>
      </c>
      <c r="D108">
        <f t="shared" si="18"/>
        <v>2.1593564709113666E-3</v>
      </c>
      <c r="E108">
        <f t="shared" si="18"/>
        <v>4.7797740441168912E-6</v>
      </c>
      <c r="G108" s="6" t="s">
        <v>78</v>
      </c>
      <c r="H108">
        <f t="shared" si="19"/>
        <v>2.1593683291455633E-3</v>
      </c>
    </row>
    <row r="109" spans="1:8" ht="15" customHeight="1" x14ac:dyDescent="0.25">
      <c r="B109" s="7" t="s">
        <v>171</v>
      </c>
      <c r="C109">
        <f t="shared" si="18"/>
        <v>-2.1593565005610382E-3</v>
      </c>
      <c r="D109">
        <f t="shared" si="18"/>
        <v>-1.7843822964210761E-6</v>
      </c>
      <c r="E109">
        <f t="shared" si="18"/>
        <v>4.7797740440058689E-6</v>
      </c>
      <c r="G109" s="6" t="s">
        <v>78</v>
      </c>
      <c r="H109">
        <f t="shared" si="19"/>
        <v>2.1593625278714329E-3</v>
      </c>
    </row>
    <row r="110" spans="1:8" ht="15" customHeight="1" x14ac:dyDescent="0.25"/>
    <row r="111" spans="1:8" ht="15" customHeight="1" x14ac:dyDescent="0.25"/>
    <row r="112" spans="1:8" ht="15" customHeight="1" x14ac:dyDescent="0.25">
      <c r="A112" s="67" t="s">
        <v>162</v>
      </c>
      <c r="C112">
        <f>(C80^2)*(1-COS($I$27))+COS($I$27)</f>
        <v>0.99999999991381683</v>
      </c>
      <c r="D112">
        <f>C80*D80*(1-COS($I$27))-E80*SIN($I$27)</f>
        <v>1.2461304433305894E-5</v>
      </c>
      <c r="E112">
        <f>C80*E80*(1-COS($I$27))+D80*SIN($I$27)</f>
        <v>4.1330613067446863E-6</v>
      </c>
    </row>
    <row r="113" spans="1:12" ht="15" customHeight="1" x14ac:dyDescent="0.25">
      <c r="A113" s="68"/>
      <c r="B113" t="s">
        <v>237</v>
      </c>
      <c r="C113">
        <f>D80*C80*(1-COS($I$27))+E80*SIN($I$27)</f>
        <v>-1.2461321515578607E-5</v>
      </c>
      <c r="D113">
        <f>(D80^2)*(1-COS($I$27))+COS($I$27)</f>
        <v>0.9999999999138165</v>
      </c>
      <c r="E113">
        <f>D80*E80*(1-COS($I$27))-C80*SIN($I$27)</f>
        <v>4.1330790061571193E-6</v>
      </c>
    </row>
    <row r="114" spans="1:12" ht="15" customHeight="1" x14ac:dyDescent="0.25">
      <c r="C114">
        <f>E80*C80*(1-COS($I$27))-D80*SIN($I$27)</f>
        <v>-4.1330098028212915E-6</v>
      </c>
      <c r="D114">
        <f>D80*E80*(1-COS($I$27))+C80*SIN($I$27)</f>
        <v>-4.1331305092181549E-6</v>
      </c>
      <c r="E114">
        <f>(E80^2)*(1-COS($I$27))+COS($I$27)</f>
        <v>0.99999999998291778</v>
      </c>
    </row>
    <row r="115" spans="1:12" ht="15" customHeight="1" x14ac:dyDescent="0.25">
      <c r="J115" t="s">
        <v>87</v>
      </c>
      <c r="K115" t="s">
        <v>88</v>
      </c>
    </row>
    <row r="116" spans="1:12" ht="15" customHeight="1" x14ac:dyDescent="0.25">
      <c r="A116" s="19" t="s">
        <v>339</v>
      </c>
      <c r="B116" t="str">
        <f>B80</f>
        <v>P1*</v>
      </c>
      <c r="C116">
        <f>C80</f>
        <v>0.30028277191793806</v>
      </c>
      <c r="D116">
        <f>D80</f>
        <v>-0.30027774411408337</v>
      </c>
      <c r="E116">
        <f>E80</f>
        <v>0.90535271208465307</v>
      </c>
      <c r="G116" t="str">
        <f>G80</f>
        <v>length of vector P0*</v>
      </c>
      <c r="H116">
        <f>H80</f>
        <v>1</v>
      </c>
      <c r="J116">
        <f>ACOS((C116*C117+D116*D117+E116*E117)/(SQRT(C116^2+D116^2+E116^2)*SQRT(C117^2+D117^2+E117^2)))</f>
        <v>0.60996920270592037</v>
      </c>
      <c r="K116">
        <f t="shared" ref="K116:K123" si="20">DEGREES(J116)</f>
        <v>34.948660948009028</v>
      </c>
      <c r="L116" t="s">
        <v>80</v>
      </c>
    </row>
    <row r="117" spans="1:12" ht="15" customHeight="1" x14ac:dyDescent="0.25">
      <c r="B117" t="str">
        <f t="shared" ref="B117:B123" si="21">B81</f>
        <v>P2*</v>
      </c>
      <c r="C117">
        <f t="shared" ref="C117:C123" si="22">C81*$C$112+D81*$D$112+E81*$E$112</f>
        <v>0.30028522787302508</v>
      </c>
      <c r="D117">
        <f t="shared" ref="D117:D123" si="23">C81*$C$113+D81*$D$113+E81*$E$113</f>
        <v>0.30027923032168569</v>
      </c>
      <c r="E117">
        <f t="shared" ref="E117:E123" si="24">C81*$C$114+D81*$D$114+E81*$E$114</f>
        <v>0.90535140457098862</v>
      </c>
      <c r="G117" s="6" t="s">
        <v>67</v>
      </c>
      <c r="H117">
        <f t="shared" ref="H117:H123" si="25">SQRT(POWER(C117,2)+POWER(D117,2)+POWER(E117,2))</f>
        <v>1.0000000000000002</v>
      </c>
      <c r="J117">
        <f>ACOS((C117*C118+D117*D118+E117*E118)/(SQRT(C117^2+D117^2+E117^2)*SQRT(C118^2+D118^2+E118^2)))</f>
        <v>0.60996920270592037</v>
      </c>
      <c r="K117">
        <f t="shared" si="20"/>
        <v>34.948660948009028</v>
      </c>
      <c r="L117" t="s">
        <v>81</v>
      </c>
    </row>
    <row r="118" spans="1:12" ht="15" customHeight="1" x14ac:dyDescent="0.25">
      <c r="B118" t="str">
        <f t="shared" si="21"/>
        <v>P3*</v>
      </c>
      <c r="C118">
        <f t="shared" si="22"/>
        <v>-0.30027174655303435</v>
      </c>
      <c r="D118">
        <f t="shared" si="23"/>
        <v>0.30028168628473417</v>
      </c>
      <c r="E118">
        <f t="shared" si="24"/>
        <v>0.90535506134554045</v>
      </c>
      <c r="G118" s="6" t="s">
        <v>68</v>
      </c>
      <c r="H118">
        <f t="shared" si="25"/>
        <v>1.0000000000000002</v>
      </c>
      <c r="J118">
        <f>ACOS((C118*C119+D118*D119+E118*E119)/(SQRT(C118^2+D118^2+E118^2)*SQRT(C119^2+D119^2+E119^2)))</f>
        <v>0.60996920270592025</v>
      </c>
      <c r="K118">
        <f t="shared" si="20"/>
        <v>34.948660948009021</v>
      </c>
      <c r="L118" t="s">
        <v>89</v>
      </c>
    </row>
    <row r="119" spans="1:12" ht="15" customHeight="1" x14ac:dyDescent="0.25">
      <c r="B119" t="str">
        <f t="shared" si="21"/>
        <v>P4*</v>
      </c>
      <c r="C119">
        <f t="shared" si="22"/>
        <v>-0.30027420250812148</v>
      </c>
      <c r="D119">
        <f t="shared" si="23"/>
        <v>-0.30027528815103499</v>
      </c>
      <c r="E119">
        <f t="shared" si="24"/>
        <v>0.90535636885920534</v>
      </c>
      <c r="G119" s="6" t="s">
        <v>69</v>
      </c>
      <c r="H119">
        <f t="shared" si="25"/>
        <v>1.0000000000000004</v>
      </c>
      <c r="J119">
        <f>ACOS((C119*C120+D119*D120+E119*E120)/(SQRT(C119^2+D119^2+E119^2)*SQRT(C120^2+D120^2+E120^2)))</f>
        <v>2.3352600324167279</v>
      </c>
      <c r="K119">
        <f>DEGREES(J119)</f>
        <v>133.80054392306232</v>
      </c>
      <c r="L119" t="s">
        <v>90</v>
      </c>
    </row>
    <row r="120" spans="1:12" ht="15" customHeight="1" x14ac:dyDescent="0.25">
      <c r="B120" t="str">
        <f t="shared" si="21"/>
        <v>P5*</v>
      </c>
      <c r="C120">
        <f t="shared" si="22"/>
        <v>-7.2493049481350026E-6</v>
      </c>
      <c r="D120">
        <f t="shared" si="23"/>
        <v>-0.42465988019773204</v>
      </c>
      <c r="E120">
        <f t="shared" si="24"/>
        <v>-0.90535296216331862</v>
      </c>
      <c r="G120" s="6" t="s">
        <v>70</v>
      </c>
      <c r="H120">
        <f t="shared" si="25"/>
        <v>1</v>
      </c>
      <c r="J120">
        <f>ACOS((C120*C121+D120*D121+E120*E121)/(SQRT(C120^2+D120^2+E120^2)*SQRT(C121^2+D121^2+E121^2)))</f>
        <v>0.6099692027059177</v>
      </c>
      <c r="K120">
        <f t="shared" si="20"/>
        <v>34.948660948008879</v>
      </c>
      <c r="L120" t="s">
        <v>91</v>
      </c>
    </row>
    <row r="121" spans="1:12" ht="15" customHeight="1" x14ac:dyDescent="0.25">
      <c r="B121" t="str">
        <f t="shared" si="21"/>
        <v>P6*</v>
      </c>
      <c r="C121">
        <f t="shared" si="22"/>
        <v>0.42465239642308894</v>
      </c>
      <c r="D121">
        <f t="shared" si="23"/>
        <v>-3.7077134512366249E-6</v>
      </c>
      <c r="E121">
        <f t="shared" si="24"/>
        <v>-0.90535647244518036</v>
      </c>
      <c r="F121" s="7"/>
      <c r="G121" s="6" t="s">
        <v>70</v>
      </c>
      <c r="H121">
        <f t="shared" si="25"/>
        <v>1</v>
      </c>
      <c r="J121">
        <f>ACOS((C121*C116+D121*D116+E121*E116)/(SQRT(C121^2+D121^2+E121^2)*SQRT(C116^2+D116^2+E116^2)))</f>
        <v>2.3352600324167279</v>
      </c>
      <c r="K121">
        <f t="shared" si="20"/>
        <v>133.80054392306232</v>
      </c>
      <c r="L121" t="s">
        <v>92</v>
      </c>
    </row>
    <row r="122" spans="1:12" ht="15" customHeight="1" x14ac:dyDescent="0.25">
      <c r="B122" t="str">
        <f t="shared" si="21"/>
        <v>P7*</v>
      </c>
      <c r="C122">
        <f t="shared" si="22"/>
        <v>-3.7760599555383613E-6</v>
      </c>
      <c r="D122">
        <f t="shared" si="23"/>
        <v>0.42465593802708118</v>
      </c>
      <c r="E122">
        <f t="shared" si="24"/>
        <v>-0.90535481126687656</v>
      </c>
      <c r="F122" s="7"/>
      <c r="G122" s="6" t="s">
        <v>70</v>
      </c>
      <c r="H122">
        <f t="shared" si="25"/>
        <v>1.0000000000000002</v>
      </c>
      <c r="J122">
        <f>ACOS((C122*C123+D122*D123+E122*E123)/(SQRT(C122^2+D122^2+E122^2)*SQRT(C123^2+D123^2+E123^2)))</f>
        <v>0.60996920270591792</v>
      </c>
      <c r="K122">
        <f t="shared" si="20"/>
        <v>34.948660948008893</v>
      </c>
      <c r="L122">
        <f>L96</f>
        <v>0</v>
      </c>
    </row>
    <row r="123" spans="1:12" ht="15" customHeight="1" x14ac:dyDescent="0.25">
      <c r="B123" t="str">
        <f t="shared" si="21"/>
        <v>P8*</v>
      </c>
      <c r="C123">
        <f t="shared" si="22"/>
        <v>-0.42466342178799266</v>
      </c>
      <c r="D123">
        <f t="shared" si="23"/>
        <v>-2.3445719950125239E-7</v>
      </c>
      <c r="E123">
        <f t="shared" si="24"/>
        <v>-0.90535130098501493</v>
      </c>
      <c r="F123" s="7"/>
      <c r="G123" s="6" t="s">
        <v>70</v>
      </c>
      <c r="H123">
        <f t="shared" si="25"/>
        <v>1.0000000000000004</v>
      </c>
      <c r="J123" t="e">
        <f>ACOS((C123*C124+D123*D124+E123*E124)/(SQRT(C123^2+D123^2+E123^2)*SQRT(C124^2+D124^2+E124^2)))</f>
        <v>#DIV/0!</v>
      </c>
      <c r="K123" t="e">
        <f t="shared" si="20"/>
        <v>#DIV/0!</v>
      </c>
      <c r="L123">
        <f>L101</f>
        <v>0</v>
      </c>
    </row>
    <row r="124" spans="1:12" ht="15" customHeight="1" x14ac:dyDescent="0.25">
      <c r="B124" s="7"/>
      <c r="C124" s="7"/>
      <c r="D124" s="7"/>
      <c r="E124" s="7"/>
      <c r="G124" s="6"/>
    </row>
    <row r="125" spans="1:12" ht="15" customHeight="1" x14ac:dyDescent="0.25">
      <c r="A125" s="12" t="s">
        <v>72</v>
      </c>
      <c r="B125" t="str">
        <f>B102</f>
        <v>P1*-P1</v>
      </c>
      <c r="C125">
        <f t="shared" ref="C125:E132" si="26">C116-C70</f>
        <v>-1.5031733835684236E-3</v>
      </c>
      <c r="D125">
        <f t="shared" si="26"/>
        <v>1.5082011874231194E-3</v>
      </c>
      <c r="E125">
        <f t="shared" si="26"/>
        <v>-5.1238198663927648E-6</v>
      </c>
      <c r="G125" s="6" t="s">
        <v>78</v>
      </c>
      <c r="H125">
        <f t="shared" ref="H125:H132" si="27">SQRT(POWER(C125,2)+POWER(D125,2)+POWER(E125,2))</f>
        <v>2.1293725123479627E-3</v>
      </c>
    </row>
    <row r="126" spans="1:12" ht="15" customHeight="1" x14ac:dyDescent="0.25">
      <c r="B126" t="str">
        <f t="shared" ref="B126:B132" si="28">B103</f>
        <v>P2*-P2</v>
      </c>
      <c r="C126">
        <f t="shared" si="26"/>
        <v>-1.5007174284814018E-3</v>
      </c>
      <c r="D126">
        <f t="shared" si="26"/>
        <v>-1.5067149798208002E-3</v>
      </c>
      <c r="E126">
        <f t="shared" si="26"/>
        <v>-6.4313335308430197E-6</v>
      </c>
      <c r="G126" s="6" t="s">
        <v>78</v>
      </c>
      <c r="H126">
        <f t="shared" si="27"/>
        <v>2.126589803562316E-3</v>
      </c>
    </row>
    <row r="127" spans="1:12" ht="15" customHeight="1" x14ac:dyDescent="0.25">
      <c r="B127" t="str">
        <f t="shared" si="28"/>
        <v>P3*-P3</v>
      </c>
      <c r="C127">
        <f t="shared" si="26"/>
        <v>1.5141987484721398E-3</v>
      </c>
      <c r="D127">
        <f t="shared" si="26"/>
        <v>-1.5042590167723136E-3</v>
      </c>
      <c r="E127">
        <f t="shared" si="26"/>
        <v>-2.7745589790129088E-6</v>
      </c>
      <c r="G127" s="6" t="s">
        <v>78</v>
      </c>
      <c r="H127">
        <f t="shared" si="27"/>
        <v>2.1343853301578255E-3</v>
      </c>
    </row>
    <row r="128" spans="1:12" ht="15" customHeight="1" x14ac:dyDescent="0.25">
      <c r="B128" t="str">
        <f t="shared" si="28"/>
        <v>P4*-P4</v>
      </c>
      <c r="C128">
        <f t="shared" si="26"/>
        <v>1.5117427933850069E-3</v>
      </c>
      <c r="D128">
        <f t="shared" si="26"/>
        <v>1.510657150471495E-3</v>
      </c>
      <c r="E128">
        <f t="shared" si="26"/>
        <v>-1.4670453141185646E-6</v>
      </c>
      <c r="G128" s="6" t="s">
        <v>78</v>
      </c>
      <c r="H128">
        <f t="shared" si="27"/>
        <v>2.1371601371549384E-3</v>
      </c>
    </row>
    <row r="129" spans="1:11" ht="15" customHeight="1" x14ac:dyDescent="0.25">
      <c r="B129" t="str">
        <f t="shared" si="28"/>
        <v>P5*-P5</v>
      </c>
      <c r="C129">
        <f t="shared" si="26"/>
        <v>-7.2493049481350026E-6</v>
      </c>
      <c r="D129">
        <f t="shared" si="26"/>
        <v>-2.1595567756228506E-3</v>
      </c>
      <c r="E129">
        <f t="shared" si="26"/>
        <v>4.8737412008392766E-6</v>
      </c>
      <c r="G129" s="6" t="s">
        <v>78</v>
      </c>
      <c r="H129">
        <f t="shared" si="27"/>
        <v>2.1595744425497556E-3</v>
      </c>
    </row>
    <row r="130" spans="1:11" ht="15" customHeight="1" x14ac:dyDescent="0.25">
      <c r="B130" t="str">
        <f t="shared" si="28"/>
        <v>P6*-P6</v>
      </c>
      <c r="C130">
        <f t="shared" si="26"/>
        <v>2.1520730009799149E-3</v>
      </c>
      <c r="D130">
        <f t="shared" si="26"/>
        <v>-3.7077134512366249E-6</v>
      </c>
      <c r="E130">
        <f t="shared" si="26"/>
        <v>1.3634593390987604E-6</v>
      </c>
      <c r="G130" s="6" t="s">
        <v>78</v>
      </c>
      <c r="H130">
        <f t="shared" si="27"/>
        <v>2.1520766268205002E-3</v>
      </c>
    </row>
    <row r="131" spans="1:11" ht="15" customHeight="1" x14ac:dyDescent="0.25">
      <c r="B131" t="str">
        <f t="shared" si="28"/>
        <v>P7*-P7</v>
      </c>
      <c r="C131">
        <f t="shared" si="26"/>
        <v>-3.7760599555383613E-6</v>
      </c>
      <c r="D131">
        <f t="shared" si="26"/>
        <v>2.1556146049721558E-3</v>
      </c>
      <c r="E131">
        <f t="shared" si="26"/>
        <v>3.0246376429010624E-6</v>
      </c>
      <c r="G131" s="6" t="s">
        <v>78</v>
      </c>
      <c r="H131">
        <f t="shared" si="27"/>
        <v>2.1556200342896523E-3</v>
      </c>
    </row>
    <row r="132" spans="1:11" ht="15" customHeight="1" x14ac:dyDescent="0.25">
      <c r="B132" t="str">
        <f t="shared" si="28"/>
        <v>P8*-P8</v>
      </c>
      <c r="C132">
        <f t="shared" si="26"/>
        <v>-2.1630983658834646E-3</v>
      </c>
      <c r="D132">
        <f t="shared" si="26"/>
        <v>-2.3445719950125239E-7</v>
      </c>
      <c r="E132">
        <f t="shared" si="26"/>
        <v>6.5349195045305564E-6</v>
      </c>
      <c r="G132" s="6" t="s">
        <v>78</v>
      </c>
      <c r="H132">
        <f t="shared" si="27"/>
        <v>2.1631082498642603E-3</v>
      </c>
    </row>
    <row r="133" spans="1:11" ht="15" customHeight="1" x14ac:dyDescent="0.25">
      <c r="B133" s="7"/>
      <c r="G133" s="6"/>
    </row>
    <row r="134" spans="1:11" ht="15" customHeight="1" x14ac:dyDescent="0.25">
      <c r="A134" s="19" t="s">
        <v>334</v>
      </c>
      <c r="B134" s="7" t="s">
        <v>204</v>
      </c>
      <c r="C134">
        <v>0</v>
      </c>
      <c r="D134">
        <v>0</v>
      </c>
      <c r="E134">
        <v>0</v>
      </c>
    </row>
    <row r="135" spans="1:11" ht="15" customHeight="1" x14ac:dyDescent="0.25">
      <c r="B135" t="str">
        <f t="shared" ref="B135:B142" si="29">B116</f>
        <v>P1*</v>
      </c>
      <c r="C135">
        <f>C116*$K$61</f>
        <v>49.750953712892979</v>
      </c>
      <c r="D135">
        <f>D116*$K$61</f>
        <v>-49.750120704607973</v>
      </c>
      <c r="E135">
        <f>E116*$K$61</f>
        <v>149.9991510837489</v>
      </c>
      <c r="F135" t="s">
        <v>372</v>
      </c>
      <c r="G135">
        <f>C135-C136</f>
        <v>-4.0690348991745395E-4</v>
      </c>
      <c r="H135">
        <f>D135-D136</f>
        <v>-99.500487644606537</v>
      </c>
      <c r="I135">
        <f>E135-E136</f>
        <v>2.1662931703758659E-4</v>
      </c>
      <c r="J135" s="58" t="s">
        <v>67</v>
      </c>
      <c r="K135">
        <f>SQRT(POWER(G135,2)+POWER(H135,2)+POWER(I135,2))</f>
        <v>99.500487645674369</v>
      </c>
    </row>
    <row r="136" spans="1:11" ht="15" customHeight="1" x14ac:dyDescent="0.25">
      <c r="B136" t="str">
        <f t="shared" si="29"/>
        <v>P2*</v>
      </c>
      <c r="C136">
        <f t="shared" ref="C136:E142" si="30">C117*$K$61</f>
        <v>49.751360616382897</v>
      </c>
      <c r="D136">
        <f t="shared" si="30"/>
        <v>49.750366939998564</v>
      </c>
      <c r="E136">
        <f t="shared" si="30"/>
        <v>149.99893445443186</v>
      </c>
      <c r="F136" t="s">
        <v>378</v>
      </c>
      <c r="G136">
        <f>C135-C139</f>
        <v>49.752154780249001</v>
      </c>
      <c r="H136">
        <f>D135-D139</f>
        <v>20.60767541036109</v>
      </c>
      <c r="I136">
        <f>E135-E139</f>
        <v>299.99834360061777</v>
      </c>
      <c r="J136" s="58" t="s">
        <v>67</v>
      </c>
      <c r="K136">
        <f>SQRT(POWER(G136,2)+POWER(H136,2)+POWER(I136,2))</f>
        <v>304.79330595374137</v>
      </c>
    </row>
    <row r="137" spans="1:11" ht="15" customHeight="1" x14ac:dyDescent="0.25">
      <c r="B137" t="str">
        <f t="shared" si="29"/>
        <v>P3*</v>
      </c>
      <c r="C137">
        <f t="shared" si="30"/>
        <v>-49.74912702661495</v>
      </c>
      <c r="D137">
        <f t="shared" si="30"/>
        <v>49.75077384480754</v>
      </c>
      <c r="E137">
        <f t="shared" si="30"/>
        <v>149.99954031010685</v>
      </c>
    </row>
    <row r="138" spans="1:11" ht="15" customHeight="1" x14ac:dyDescent="0.25">
      <c r="B138" t="str">
        <f t="shared" si="29"/>
        <v>P4*</v>
      </c>
      <c r="C138">
        <f t="shared" si="30"/>
        <v>-49.749533930104882</v>
      </c>
      <c r="D138">
        <f t="shared" si="30"/>
        <v>-49.749713799799018</v>
      </c>
      <c r="E138">
        <f t="shared" si="30"/>
        <v>149.99975693942395</v>
      </c>
    </row>
    <row r="139" spans="1:11" ht="15" customHeight="1" x14ac:dyDescent="0.25">
      <c r="B139" t="str">
        <f t="shared" si="29"/>
        <v>P5*</v>
      </c>
      <c r="C139">
        <f t="shared" si="30"/>
        <v>-1.2010673560182549E-3</v>
      </c>
      <c r="D139">
        <f t="shared" si="30"/>
        <v>-70.357796114969062</v>
      </c>
      <c r="E139">
        <f t="shared" si="30"/>
        <v>-149.99919251686887</v>
      </c>
    </row>
    <row r="140" spans="1:11" ht="15" customHeight="1" x14ac:dyDescent="0.25">
      <c r="B140" t="str">
        <f t="shared" si="29"/>
        <v>P6*</v>
      </c>
      <c r="C140">
        <f t="shared" si="30"/>
        <v>70.356556200592735</v>
      </c>
      <c r="D140">
        <f t="shared" si="30"/>
        <v>-6.1429524949088406E-4</v>
      </c>
      <c r="E140">
        <f t="shared" si="30"/>
        <v>-149.99977410158419</v>
      </c>
    </row>
    <row r="141" spans="1:11" ht="15" customHeight="1" x14ac:dyDescent="0.25">
      <c r="B141" t="str">
        <f t="shared" si="29"/>
        <v>P7*</v>
      </c>
      <c r="C141">
        <f t="shared" si="30"/>
        <v>-6.2561892200874332E-4</v>
      </c>
      <c r="D141">
        <f t="shared" si="30"/>
        <v>70.357142974769488</v>
      </c>
      <c r="E141">
        <f t="shared" si="30"/>
        <v>-149.99949887698713</v>
      </c>
    </row>
    <row r="142" spans="1:11" ht="15" customHeight="1" x14ac:dyDescent="0.25">
      <c r="B142" t="str">
        <f t="shared" si="29"/>
        <v>P8*</v>
      </c>
      <c r="C142">
        <f t="shared" si="30"/>
        <v>-70.358382886870771</v>
      </c>
      <c r="D142">
        <f t="shared" si="30"/>
        <v>-3.8844950063365655E-5</v>
      </c>
      <c r="E142">
        <f t="shared" si="30"/>
        <v>-149.99891729227184</v>
      </c>
    </row>
    <row r="143" spans="1:11" ht="15" customHeight="1" x14ac:dyDescent="0.25"/>
    <row r="144" spans="1:11" ht="15" customHeight="1" x14ac:dyDescent="0.25">
      <c r="A144" s="19" t="s">
        <v>335</v>
      </c>
      <c r="B144" t="s">
        <v>204</v>
      </c>
      <c r="C144">
        <f>C134+$C$57</f>
        <v>50.000000000000014</v>
      </c>
      <c r="D144">
        <f>D134+$D$57</f>
        <v>50.000000000000014</v>
      </c>
      <c r="E144">
        <f>E134+$E$57</f>
        <v>150</v>
      </c>
    </row>
    <row r="145" spans="2:5" ht="15" customHeight="1" x14ac:dyDescent="0.25">
      <c r="B145" t="str">
        <f t="shared" ref="B145:B152" si="31">B135</f>
        <v>P1*</v>
      </c>
      <c r="C145">
        <f>C135+$C$57</f>
        <v>99.750953712892994</v>
      </c>
      <c r="D145">
        <f>D135+$D$57</f>
        <v>0.24987929539204146</v>
      </c>
      <c r="E145">
        <f>E135+$E$57</f>
        <v>299.99915108374887</v>
      </c>
    </row>
    <row r="146" spans="2:5" ht="15" customHeight="1" x14ac:dyDescent="0.25">
      <c r="B146" t="str">
        <f t="shared" si="31"/>
        <v>P2*</v>
      </c>
      <c r="C146">
        <f t="shared" ref="C146:C152" si="32">C136+$C$57</f>
        <v>99.751360616382911</v>
      </c>
      <c r="D146">
        <f t="shared" ref="D146:D152" si="33">D136+$D$57</f>
        <v>99.750366939998571</v>
      </c>
      <c r="E146">
        <f t="shared" ref="E146:E152" si="34">E136+$E$57</f>
        <v>299.99893445443183</v>
      </c>
    </row>
    <row r="147" spans="2:5" ht="15" customHeight="1" x14ac:dyDescent="0.25">
      <c r="B147" t="str">
        <f t="shared" si="31"/>
        <v>P3*</v>
      </c>
      <c r="C147">
        <f t="shared" si="32"/>
        <v>0.25087297338506431</v>
      </c>
      <c r="D147">
        <f t="shared" si="33"/>
        <v>99.750773844807554</v>
      </c>
      <c r="E147">
        <f t="shared" si="34"/>
        <v>299.99954031010685</v>
      </c>
    </row>
    <row r="148" spans="2:5" ht="15" customHeight="1" x14ac:dyDescent="0.25">
      <c r="B148" t="str">
        <f t="shared" si="31"/>
        <v>P4*</v>
      </c>
      <c r="C148">
        <f t="shared" si="32"/>
        <v>0.25046606989513265</v>
      </c>
      <c r="D148">
        <f t="shared" si="33"/>
        <v>0.25028620020099623</v>
      </c>
      <c r="E148">
        <f t="shared" si="34"/>
        <v>299.99975693942395</v>
      </c>
    </row>
    <row r="149" spans="2:5" ht="15" customHeight="1" x14ac:dyDescent="0.25">
      <c r="B149" t="str">
        <f t="shared" si="31"/>
        <v>P5*</v>
      </c>
      <c r="C149">
        <f t="shared" si="32"/>
        <v>49.998798932643993</v>
      </c>
      <c r="D149">
        <f t="shared" si="33"/>
        <v>-20.357796114969048</v>
      </c>
      <c r="E149">
        <f t="shared" si="34"/>
        <v>8.0748313112621872E-4</v>
      </c>
    </row>
    <row r="150" spans="2:5" ht="15" customHeight="1" x14ac:dyDescent="0.25">
      <c r="B150" t="str">
        <f t="shared" si="31"/>
        <v>P6*</v>
      </c>
      <c r="C150">
        <f t="shared" si="32"/>
        <v>120.35655620059275</v>
      </c>
      <c r="D150">
        <f t="shared" si="33"/>
        <v>49.999385704750523</v>
      </c>
      <c r="E150">
        <f t="shared" si="34"/>
        <v>2.2589841580611392E-4</v>
      </c>
    </row>
    <row r="151" spans="2:5" ht="15" customHeight="1" x14ac:dyDescent="0.25">
      <c r="B151" t="str">
        <f t="shared" si="31"/>
        <v>P7*</v>
      </c>
      <c r="C151">
        <f t="shared" si="32"/>
        <v>49.999374381078006</v>
      </c>
      <c r="D151">
        <f t="shared" si="33"/>
        <v>120.3571429747695</v>
      </c>
      <c r="E151">
        <f t="shared" si="34"/>
        <v>5.0112301286731054E-4</v>
      </c>
    </row>
    <row r="152" spans="2:5" ht="15" customHeight="1" x14ac:dyDescent="0.25">
      <c r="B152" t="str">
        <f t="shared" si="31"/>
        <v>P8*</v>
      </c>
      <c r="C152">
        <f t="shared" si="32"/>
        <v>-20.358382886870757</v>
      </c>
      <c r="D152">
        <f t="shared" si="33"/>
        <v>49.999961155049952</v>
      </c>
      <c r="E152">
        <f t="shared" si="34"/>
        <v>1.0827077281589936E-3</v>
      </c>
    </row>
    <row r="153" spans="2:5" ht="15" customHeight="1" x14ac:dyDescent="0.25"/>
    <row r="154" spans="2:5" ht="15" customHeight="1" x14ac:dyDescent="0.25"/>
    <row r="155" spans="2:5" ht="15" customHeight="1" x14ac:dyDescent="0.25"/>
    <row r="156" spans="2:5" ht="15" customHeight="1" x14ac:dyDescent="0.25"/>
    <row r="157" spans="2:5" ht="15" customHeight="1" x14ac:dyDescent="0.25"/>
    <row r="158" spans="2:5" ht="15" customHeight="1" x14ac:dyDescent="0.25"/>
    <row r="159" spans="2:5" ht="15" customHeight="1" x14ac:dyDescent="0.25"/>
    <row r="160" spans="2:5" ht="15" customHeight="1" x14ac:dyDescent="0.25"/>
    <row r="161" ht="15" customHeight="1" x14ac:dyDescent="0.25"/>
    <row r="162" ht="15" customHeight="1" x14ac:dyDescent="0.25"/>
    <row r="163" ht="15" customHeight="1" x14ac:dyDescent="0.25"/>
  </sheetData>
  <mergeCells count="23">
    <mergeCell ref="A94:A95"/>
    <mergeCell ref="A112:A113"/>
    <mergeCell ref="A47:A48"/>
    <mergeCell ref="G47:H47"/>
    <mergeCell ref="G51:H51"/>
    <mergeCell ref="A98:A99"/>
    <mergeCell ref="A89:A90"/>
    <mergeCell ref="D25:F25"/>
    <mergeCell ref="E37:F38"/>
    <mergeCell ref="H39:J43"/>
    <mergeCell ref="A41:C42"/>
    <mergeCell ref="E40:F40"/>
    <mergeCell ref="E41:F41"/>
    <mergeCell ref="E42:F42"/>
    <mergeCell ref="D29:F29"/>
    <mergeCell ref="G30:H30"/>
    <mergeCell ref="D33:F33"/>
    <mergeCell ref="B2:D2"/>
    <mergeCell ref="F3:G5"/>
    <mergeCell ref="B8:D8"/>
    <mergeCell ref="E8:H8"/>
    <mergeCell ref="H22:J23"/>
    <mergeCell ref="D21:F21"/>
  </mergeCells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3"/>
  <sheetViews>
    <sheetView topLeftCell="A68" workbookViewId="0">
      <selection activeCell="C99" sqref="C99"/>
    </sheetView>
  </sheetViews>
  <sheetFormatPr baseColWidth="10" defaultRowHeight="15" customHeight="1" x14ac:dyDescent="0.25"/>
  <cols>
    <col min="1" max="1" width="26.7109375" customWidth="1"/>
    <col min="2" max="12" width="13.7109375" customWidth="1"/>
    <col min="13" max="13" width="12" bestFit="1" customWidth="1"/>
  </cols>
  <sheetData>
    <row r="1" spans="1:11" ht="15" customHeight="1" x14ac:dyDescent="0.25">
      <c r="A1" t="s">
        <v>0</v>
      </c>
    </row>
    <row r="2" spans="1:11" ht="15" customHeight="1" x14ac:dyDescent="0.25">
      <c r="A2" s="29"/>
      <c r="B2" s="69" t="s">
        <v>134</v>
      </c>
      <c r="C2" s="70"/>
      <c r="D2" s="70"/>
    </row>
    <row r="3" spans="1:11" ht="15" customHeight="1" x14ac:dyDescent="0.25">
      <c r="A3" t="s">
        <v>1</v>
      </c>
      <c r="F3" s="75" t="s">
        <v>315</v>
      </c>
      <c r="G3" s="76"/>
    </row>
    <row r="4" spans="1:11" ht="15" customHeight="1" x14ac:dyDescent="0.25">
      <c r="A4" t="s">
        <v>2</v>
      </c>
      <c r="B4" s="1">
        <v>1747.62</v>
      </c>
      <c r="C4" s="43" t="s">
        <v>51</v>
      </c>
      <c r="D4" s="1">
        <v>90</v>
      </c>
      <c r="F4" s="76"/>
      <c r="G4" s="76"/>
    </row>
    <row r="5" spans="1:11" ht="15" customHeight="1" x14ac:dyDescent="0.25">
      <c r="A5" t="s">
        <v>3</v>
      </c>
      <c r="B5" s="1">
        <v>560.41999999999996</v>
      </c>
      <c r="C5" s="43" t="s">
        <v>52</v>
      </c>
      <c r="D5" s="1">
        <v>90</v>
      </c>
      <c r="F5" s="76"/>
      <c r="G5" s="76"/>
    </row>
    <row r="6" spans="1:11" ht="15" customHeight="1" x14ac:dyDescent="0.25">
      <c r="A6" t="s">
        <v>4</v>
      </c>
      <c r="B6" s="1">
        <v>699.29</v>
      </c>
      <c r="C6" s="43" t="s">
        <v>53</v>
      </c>
      <c r="D6" s="1">
        <v>90</v>
      </c>
    </row>
    <row r="8" spans="1:11" ht="15" customHeight="1" x14ac:dyDescent="0.25">
      <c r="B8" s="65" t="s">
        <v>292</v>
      </c>
      <c r="C8" s="65"/>
      <c r="D8" s="65"/>
      <c r="E8" s="77" t="s">
        <v>292</v>
      </c>
      <c r="F8" s="80"/>
      <c r="G8" s="80"/>
      <c r="H8" s="80"/>
    </row>
    <row r="9" spans="1:11" ht="15" customHeight="1" x14ac:dyDescent="0.25">
      <c r="A9" t="s">
        <v>5</v>
      </c>
      <c r="B9" s="41" t="s">
        <v>6</v>
      </c>
      <c r="C9" s="41" t="s">
        <v>7</v>
      </c>
      <c r="D9" s="41" t="s">
        <v>8</v>
      </c>
      <c r="E9" s="40"/>
      <c r="F9" s="40" t="s">
        <v>6</v>
      </c>
      <c r="G9" s="40" t="s">
        <v>7</v>
      </c>
      <c r="H9" s="40" t="s">
        <v>8</v>
      </c>
    </row>
    <row r="10" spans="1:11" ht="15" customHeight="1" x14ac:dyDescent="0.25">
      <c r="A10" t="s">
        <v>96</v>
      </c>
      <c r="B10" s="1">
        <v>0.10604</v>
      </c>
      <c r="C10" s="33">
        <v>0.25</v>
      </c>
      <c r="D10" s="1">
        <v>0.36953000000000003</v>
      </c>
      <c r="E10" s="14" t="s">
        <v>82</v>
      </c>
      <c r="F10" s="12">
        <f t="shared" ref="F10:F22" si="0">C171*$G$53+D171*$H$53+E171*$I$53</f>
        <v>0.1250516666666667</v>
      </c>
      <c r="G10" s="12">
        <f t="shared" ref="G10:G22" si="1">C171*$G$54+D171*$H$54+E171*$I$54</f>
        <v>0.24999999999999997</v>
      </c>
      <c r="H10" s="12">
        <f t="shared" ref="H10:H22" si="2">C171*$G$55+D171*$H$55+E171*$I$55</f>
        <v>0.36092999999999997</v>
      </c>
    </row>
    <row r="11" spans="1:11" ht="15" customHeight="1" x14ac:dyDescent="0.25">
      <c r="A11" t="s">
        <v>9</v>
      </c>
      <c r="B11" s="1">
        <v>0.18431</v>
      </c>
      <c r="C11" s="1">
        <v>-0.25</v>
      </c>
      <c r="D11" s="1">
        <v>0.59433000000000002</v>
      </c>
      <c r="E11" s="15" t="s">
        <v>58</v>
      </c>
      <c r="F11" s="28">
        <f t="shared" si="0"/>
        <v>0.17492563211565296</v>
      </c>
      <c r="G11" s="28">
        <f t="shared" si="1"/>
        <v>-0.24546061004070929</v>
      </c>
      <c r="H11" s="28">
        <f t="shared" si="2"/>
        <v>0.61344025583835049</v>
      </c>
      <c r="K11" s="35"/>
    </row>
    <row r="12" spans="1:11" ht="15" customHeight="1" x14ac:dyDescent="0.25">
      <c r="A12" t="s">
        <v>10</v>
      </c>
      <c r="B12" s="1">
        <v>0.30359000000000003</v>
      </c>
      <c r="C12" s="1">
        <v>-1.814E-2</v>
      </c>
      <c r="D12" s="1">
        <v>0.47755999999999998</v>
      </c>
      <c r="E12" s="15" t="s">
        <v>59</v>
      </c>
      <c r="F12" s="28">
        <f t="shared" si="0"/>
        <v>0.29830890296934343</v>
      </c>
      <c r="G12" s="28">
        <f t="shared" si="1"/>
        <v>2.2677845029569809E-3</v>
      </c>
      <c r="H12" s="28">
        <f t="shared" si="2"/>
        <v>0.46123370063718588</v>
      </c>
      <c r="K12" s="35"/>
    </row>
    <row r="13" spans="1:11" ht="15" customHeight="1" x14ac:dyDescent="0.25">
      <c r="A13" t="s">
        <v>11</v>
      </c>
      <c r="B13" s="22">
        <v>0.30359000000000003</v>
      </c>
      <c r="C13" s="23">
        <v>0.51814000000000004</v>
      </c>
      <c r="D13" s="23">
        <v>0.47755999999999998</v>
      </c>
      <c r="E13" s="24" t="s">
        <v>60</v>
      </c>
      <c r="F13" s="27">
        <f t="shared" si="0"/>
        <v>0.29830957572209288</v>
      </c>
      <c r="G13" s="27">
        <f t="shared" si="1"/>
        <v>0.49772726910854326</v>
      </c>
      <c r="H13" s="27">
        <f t="shared" si="2"/>
        <v>0.46123428899777064</v>
      </c>
      <c r="K13" s="35"/>
    </row>
    <row r="14" spans="1:11" ht="15" customHeight="1" x14ac:dyDescent="0.25">
      <c r="A14" t="s">
        <v>12</v>
      </c>
      <c r="B14" s="1">
        <v>0.18431</v>
      </c>
      <c r="C14" s="1">
        <v>0.75</v>
      </c>
      <c r="D14" s="1">
        <v>0.59433000000000002</v>
      </c>
      <c r="E14" s="15" t="s">
        <v>61</v>
      </c>
      <c r="F14" s="28">
        <f t="shared" si="0"/>
        <v>0.17492697762115178</v>
      </c>
      <c r="G14" s="28">
        <f t="shared" si="1"/>
        <v>0.74545835917046332</v>
      </c>
      <c r="H14" s="28">
        <f t="shared" si="2"/>
        <v>0.61344143255951999</v>
      </c>
    </row>
    <row r="15" spans="1:11" ht="15" customHeight="1" x14ac:dyDescent="0.25">
      <c r="A15" t="s">
        <v>13</v>
      </c>
      <c r="B15" s="1">
        <v>5.2389999999999999E-2</v>
      </c>
      <c r="C15" s="1">
        <v>0.48574000000000001</v>
      </c>
      <c r="D15" s="1">
        <v>0.74826999999999999</v>
      </c>
      <c r="E15" s="15" t="s">
        <v>62</v>
      </c>
      <c r="F15" s="28">
        <f t="shared" si="0"/>
        <v>5.1543706767461304E-2</v>
      </c>
      <c r="G15" s="28">
        <f t="shared" si="1"/>
        <v>0.49772996462679719</v>
      </c>
      <c r="H15" s="28">
        <f t="shared" si="2"/>
        <v>0.76564798776068466</v>
      </c>
    </row>
    <row r="16" spans="1:11" ht="15" customHeight="1" x14ac:dyDescent="0.25">
      <c r="A16" t="s">
        <v>98</v>
      </c>
      <c r="B16" s="23">
        <v>5.2389999999999999E-2</v>
      </c>
      <c r="C16" s="23">
        <v>1.426E-2</v>
      </c>
      <c r="D16" s="23">
        <v>0.74826999999999999</v>
      </c>
      <c r="E16" s="25" t="s">
        <v>99</v>
      </c>
      <c r="F16" s="27">
        <f t="shared" si="0"/>
        <v>5.1543034014711796E-2</v>
      </c>
      <c r="G16" s="27">
        <f t="shared" si="1"/>
        <v>2.2704800212108574E-3</v>
      </c>
      <c r="H16" s="27">
        <f t="shared" si="2"/>
        <v>0.76564739940009985</v>
      </c>
    </row>
    <row r="17" spans="1:11" ht="15" customHeight="1" x14ac:dyDescent="0.25">
      <c r="A17" t="s">
        <v>104</v>
      </c>
      <c r="B17" s="20">
        <v>6.6000000000000003E-2</v>
      </c>
      <c r="C17" s="20">
        <v>-0.25</v>
      </c>
      <c r="D17" s="20">
        <v>0.11613</v>
      </c>
      <c r="E17" s="16" t="s">
        <v>110</v>
      </c>
      <c r="F17" s="26">
        <f t="shared" si="0"/>
        <v>7.5176355712181619E-2</v>
      </c>
      <c r="G17" s="26">
        <f t="shared" si="1"/>
        <v>-0.24545835917046327</v>
      </c>
      <c r="H17" s="26">
        <f t="shared" si="2"/>
        <v>0.10841856744047983</v>
      </c>
      <c r="K17" s="35"/>
    </row>
    <row r="18" spans="1:11" ht="15" customHeight="1" x14ac:dyDescent="0.25">
      <c r="A18" t="s">
        <v>105</v>
      </c>
      <c r="B18" s="20">
        <v>0.19641</v>
      </c>
      <c r="C18" s="34">
        <v>1.814E-2</v>
      </c>
      <c r="D18" s="20">
        <v>-2.2440000000000002E-2</v>
      </c>
      <c r="E18" s="16" t="s">
        <v>111</v>
      </c>
      <c r="F18" s="26">
        <f t="shared" si="0"/>
        <v>0.19855962656587203</v>
      </c>
      <c r="G18" s="26">
        <f t="shared" si="1"/>
        <v>2.270035373203038E-3</v>
      </c>
      <c r="H18" s="26">
        <f t="shared" si="2"/>
        <v>-4.3787987760684773E-2</v>
      </c>
      <c r="K18" s="4"/>
    </row>
    <row r="19" spans="1:11" ht="15" customHeight="1" x14ac:dyDescent="0.25">
      <c r="A19" t="s">
        <v>106</v>
      </c>
      <c r="B19" s="23">
        <v>0.19641</v>
      </c>
      <c r="C19" s="23">
        <v>0.48186000000000001</v>
      </c>
      <c r="D19" s="23">
        <v>-2.2440000000000002E-2</v>
      </c>
      <c r="E19" s="25" t="s">
        <v>112</v>
      </c>
      <c r="F19" s="27">
        <f t="shared" si="0"/>
        <v>0.19856029931862149</v>
      </c>
      <c r="G19" s="27">
        <f t="shared" si="1"/>
        <v>0.49772951997878917</v>
      </c>
      <c r="H19" s="27">
        <f t="shared" si="2"/>
        <v>-4.3787399400100027E-2</v>
      </c>
      <c r="K19" s="4"/>
    </row>
    <row r="20" spans="1:11" ht="15" customHeight="1" x14ac:dyDescent="0.25">
      <c r="A20" t="s">
        <v>195</v>
      </c>
      <c r="B20" s="1">
        <v>6.6000000000000003E-2</v>
      </c>
      <c r="C20" s="1">
        <v>0.75</v>
      </c>
      <c r="D20" s="1">
        <v>0.11613</v>
      </c>
      <c r="E20" s="16" t="s">
        <v>113</v>
      </c>
      <c r="F20" s="26">
        <f t="shared" si="0"/>
        <v>7.5177701217680443E-2</v>
      </c>
      <c r="G20" s="26">
        <f t="shared" si="1"/>
        <v>0.74546061004070929</v>
      </c>
      <c r="H20" s="26">
        <f t="shared" si="2"/>
        <v>0.10841974416164932</v>
      </c>
    </row>
    <row r="21" spans="1:11" ht="15" customHeight="1" x14ac:dyDescent="0.25">
      <c r="A21" t="s">
        <v>196</v>
      </c>
      <c r="B21" s="1">
        <v>-5.2389999999999999E-2</v>
      </c>
      <c r="C21" s="1">
        <v>0.51426000000000005</v>
      </c>
      <c r="D21" s="1">
        <v>0.25173000000000001</v>
      </c>
      <c r="E21" s="16" t="s">
        <v>115</v>
      </c>
      <c r="F21" s="26">
        <f t="shared" si="0"/>
        <v>-4.8205569636010033E-2</v>
      </c>
      <c r="G21" s="26">
        <f t="shared" si="1"/>
        <v>0.49773221549704322</v>
      </c>
      <c r="H21" s="26">
        <f t="shared" si="2"/>
        <v>0.26062629936281395</v>
      </c>
    </row>
    <row r="22" spans="1:11" ht="15" customHeight="1" x14ac:dyDescent="0.25">
      <c r="A22" t="s">
        <v>197</v>
      </c>
      <c r="B22" s="1">
        <v>-5.2389999999999999E-2</v>
      </c>
      <c r="C22" s="1">
        <v>-1.426E-2</v>
      </c>
      <c r="D22" s="1">
        <v>0.25173000000000001</v>
      </c>
      <c r="E22" s="16" t="s">
        <v>114</v>
      </c>
      <c r="F22" s="26">
        <f t="shared" si="0"/>
        <v>-4.8206242388759507E-2</v>
      </c>
      <c r="G22" s="26">
        <f t="shared" si="1"/>
        <v>2.2727308914569141E-3</v>
      </c>
      <c r="H22" s="26">
        <f t="shared" si="2"/>
        <v>0.26062571100222937</v>
      </c>
    </row>
    <row r="23" spans="1:11" ht="15" customHeight="1" x14ac:dyDescent="0.25">
      <c r="G23" s="2"/>
      <c r="H23" s="2"/>
      <c r="J23" s="2"/>
    </row>
    <row r="25" spans="1:11" ht="15" customHeight="1" x14ac:dyDescent="0.25">
      <c r="A25" t="s">
        <v>57</v>
      </c>
      <c r="B25" t="s">
        <v>17</v>
      </c>
      <c r="D25" s="61" t="s">
        <v>18</v>
      </c>
      <c r="E25" s="61"/>
      <c r="F25" s="61"/>
      <c r="H25" s="61" t="s">
        <v>293</v>
      </c>
      <c r="I25" s="61"/>
      <c r="J25" s="61"/>
    </row>
    <row r="26" spans="1:11" ht="15" customHeight="1" x14ac:dyDescent="0.25">
      <c r="A26" t="s">
        <v>19</v>
      </c>
      <c r="B26" s="13">
        <f>H144*100</f>
        <v>6.2595932000401682</v>
      </c>
      <c r="C26" t="s">
        <v>210</v>
      </c>
      <c r="D26" t="s">
        <v>20</v>
      </c>
      <c r="E26" s="3">
        <f>(AVERAGE(B26:B37))</f>
        <v>4.9995524001668965</v>
      </c>
      <c r="F26" t="s">
        <v>210</v>
      </c>
      <c r="H26" s="61"/>
      <c r="I26" s="61"/>
      <c r="J26" s="61"/>
    </row>
    <row r="27" spans="1:11" ht="15" customHeight="1" x14ac:dyDescent="0.25">
      <c r="A27" t="s">
        <v>22</v>
      </c>
      <c r="B27" s="13">
        <f t="shared" ref="B27:B37" si="3">H145*100</f>
        <v>5.466994262356315</v>
      </c>
      <c r="C27" t="s">
        <v>210</v>
      </c>
      <c r="D27" t="s">
        <v>23</v>
      </c>
      <c r="E27">
        <f>E26*K66/100</f>
        <v>17.018697793269371</v>
      </c>
      <c r="F27" t="s">
        <v>24</v>
      </c>
      <c r="H27" t="s">
        <v>56</v>
      </c>
      <c r="I27" s="4" t="s">
        <v>29</v>
      </c>
      <c r="J27" s="4" t="s">
        <v>30</v>
      </c>
    </row>
    <row r="28" spans="1:11" ht="15" customHeight="1" x14ac:dyDescent="0.25">
      <c r="A28" t="s">
        <v>25</v>
      </c>
      <c r="B28" s="13">
        <f t="shared" si="3"/>
        <v>5.4672493523822077</v>
      </c>
      <c r="C28" t="s">
        <v>210</v>
      </c>
      <c r="H28" s="9" t="s">
        <v>54</v>
      </c>
      <c r="I28" s="5">
        <v>1.0254318524307271</v>
      </c>
      <c r="J28">
        <f>DEGREES(I28)</f>
        <v>58.75291732256251</v>
      </c>
    </row>
    <row r="29" spans="1:11" ht="15" customHeight="1" x14ac:dyDescent="0.25">
      <c r="A29" t="s">
        <v>26</v>
      </c>
      <c r="B29" s="13">
        <f t="shared" si="3"/>
        <v>6.2592574166602537</v>
      </c>
      <c r="C29" t="s">
        <v>210</v>
      </c>
      <c r="D29" s="65" t="s">
        <v>207</v>
      </c>
      <c r="E29" s="65"/>
      <c r="F29" s="65"/>
      <c r="H29" s="9" t="s">
        <v>55</v>
      </c>
      <c r="I29" s="5">
        <v>5.0165532797348957</v>
      </c>
      <c r="J29">
        <f>DEGREES(I29)</f>
        <v>287.42733063132056</v>
      </c>
    </row>
    <row r="30" spans="1:11" ht="15" customHeight="1" x14ac:dyDescent="0.25">
      <c r="A30" t="s">
        <v>28</v>
      </c>
      <c r="B30" s="13">
        <f t="shared" si="3"/>
        <v>4.1024101492753005</v>
      </c>
      <c r="C30" t="s">
        <v>210</v>
      </c>
      <c r="D30" t="s">
        <v>20</v>
      </c>
      <c r="E30">
        <f>E31/K66*100</f>
        <v>9.9190990553869192</v>
      </c>
      <c r="F30" t="s">
        <v>210</v>
      </c>
      <c r="H30" s="9" t="s">
        <v>79</v>
      </c>
      <c r="I30" s="5">
        <v>2.5973957090532016</v>
      </c>
      <c r="J30">
        <f>DEGREES(I30)</f>
        <v>148.81981185413835</v>
      </c>
    </row>
    <row r="31" spans="1:11" ht="15" customHeight="1" x14ac:dyDescent="0.25">
      <c r="A31" t="s">
        <v>100</v>
      </c>
      <c r="B31" s="13">
        <f t="shared" si="3"/>
        <v>4.1023063424365986</v>
      </c>
      <c r="C31" t="s">
        <v>210</v>
      </c>
      <c r="D31" t="s">
        <v>23</v>
      </c>
      <c r="E31">
        <f>H65</f>
        <v>33.76505248739835</v>
      </c>
      <c r="F31" t="s">
        <v>24</v>
      </c>
      <c r="H31" s="9" t="s">
        <v>185</v>
      </c>
      <c r="I31" s="5">
        <v>5.0494438664984935</v>
      </c>
      <c r="J31">
        <f>DEGREES(I31)</f>
        <v>289.31182243858359</v>
      </c>
    </row>
    <row r="32" spans="1:11" ht="15" customHeight="1" x14ac:dyDescent="0.25">
      <c r="A32" t="s">
        <v>116</v>
      </c>
      <c r="B32" s="13">
        <f t="shared" si="3"/>
        <v>5.0262352998467659</v>
      </c>
      <c r="C32" t="s">
        <v>210</v>
      </c>
    </row>
    <row r="33" spans="1:12" ht="15" customHeight="1" x14ac:dyDescent="0.25">
      <c r="A33" t="s">
        <v>117</v>
      </c>
      <c r="B33" s="13">
        <f t="shared" si="3"/>
        <v>5.2227300650955613</v>
      </c>
      <c r="C33" t="s">
        <v>210</v>
      </c>
      <c r="D33" s="65" t="s">
        <v>367</v>
      </c>
      <c r="E33" s="65"/>
      <c r="F33" s="65"/>
    </row>
    <row r="34" spans="1:12" ht="15" customHeight="1" x14ac:dyDescent="0.25">
      <c r="A34" t="s">
        <v>118</v>
      </c>
      <c r="B34" s="13">
        <f t="shared" si="3"/>
        <v>5.2226649494643942</v>
      </c>
      <c r="C34" t="s">
        <v>210</v>
      </c>
      <c r="D34" t="s">
        <v>20</v>
      </c>
      <c r="E34">
        <f>E35/K66*100</f>
        <v>115.69709330695217</v>
      </c>
      <c r="F34" t="s">
        <v>210</v>
      </c>
      <c r="G34" s="65" t="s">
        <v>368</v>
      </c>
      <c r="H34" s="65"/>
    </row>
    <row r="35" spans="1:12" ht="15" customHeight="1" x14ac:dyDescent="0.25">
      <c r="A35" t="s">
        <v>119</v>
      </c>
      <c r="B35" s="13">
        <f t="shared" si="3"/>
        <v>5.0267514908891764</v>
      </c>
      <c r="C35" t="s">
        <v>210</v>
      </c>
      <c r="D35" t="s">
        <v>23</v>
      </c>
      <c r="E35">
        <f>K159</f>
        <v>393.83802967741218</v>
      </c>
      <c r="F35" t="s">
        <v>24</v>
      </c>
      <c r="G35">
        <f>E34/E38</f>
        <v>1.4183907086928693</v>
      </c>
    </row>
    <row r="36" spans="1:12" ht="15" customHeight="1" x14ac:dyDescent="0.25">
      <c r="A36" t="s">
        <v>120</v>
      </c>
      <c r="B36" s="13">
        <f t="shared" si="3"/>
        <v>3.9190582363733384</v>
      </c>
      <c r="C36" t="s">
        <v>210</v>
      </c>
      <c r="H36" t="s">
        <v>369</v>
      </c>
    </row>
    <row r="37" spans="1:12" ht="15" customHeight="1" x14ac:dyDescent="0.25">
      <c r="A37" t="s">
        <v>121</v>
      </c>
      <c r="B37" s="13">
        <f t="shared" si="3"/>
        <v>3.9193780371826734</v>
      </c>
      <c r="C37" t="s">
        <v>210</v>
      </c>
      <c r="D37" s="65" t="s">
        <v>370</v>
      </c>
      <c r="E37" s="65"/>
      <c r="F37" s="65"/>
      <c r="H37" t="s">
        <v>371</v>
      </c>
    </row>
    <row r="38" spans="1:12" ht="15" customHeight="1" x14ac:dyDescent="0.25">
      <c r="D38" t="s">
        <v>20</v>
      </c>
      <c r="E38">
        <f>E39/K66*100</f>
        <v>81.569269029951457</v>
      </c>
      <c r="F38" t="s">
        <v>210</v>
      </c>
      <c r="K38" s="4"/>
      <c r="L38" s="4"/>
    </row>
    <row r="39" spans="1:12" ht="15" customHeight="1" x14ac:dyDescent="0.25">
      <c r="D39" t="s">
        <v>23</v>
      </c>
      <c r="E39">
        <f>K158</f>
        <v>277.6654043654566</v>
      </c>
      <c r="F39" t="s">
        <v>24</v>
      </c>
      <c r="I39" s="56"/>
      <c r="J39" s="56"/>
      <c r="K39" s="4"/>
      <c r="L39" s="4"/>
    </row>
    <row r="40" spans="1:12" ht="15" customHeight="1" x14ac:dyDescent="0.25">
      <c r="D40" s="2"/>
      <c r="H40" s="56"/>
      <c r="I40" s="56"/>
      <c r="J40" s="56"/>
      <c r="K40" s="4"/>
      <c r="L40" s="4"/>
    </row>
    <row r="41" spans="1:12" ht="15" customHeight="1" x14ac:dyDescent="0.25">
      <c r="E41" s="61" t="s">
        <v>274</v>
      </c>
      <c r="F41" s="61"/>
      <c r="K41" s="4"/>
      <c r="L41" s="4"/>
    </row>
    <row r="42" spans="1:12" ht="15" customHeight="1" x14ac:dyDescent="0.25">
      <c r="E42" s="61"/>
      <c r="F42" s="61"/>
      <c r="H42" s="61" t="s">
        <v>235</v>
      </c>
      <c r="I42" s="61"/>
      <c r="J42" s="61"/>
      <c r="K42" s="4"/>
      <c r="L42" s="4"/>
    </row>
    <row r="43" spans="1:12" ht="15" customHeight="1" x14ac:dyDescent="0.25">
      <c r="H43" s="61"/>
      <c r="I43" s="61"/>
      <c r="J43" s="61"/>
      <c r="K43" s="4"/>
      <c r="L43" s="4"/>
    </row>
    <row r="44" spans="1:12" ht="15" customHeight="1" x14ac:dyDescent="0.25">
      <c r="D44" s="2" t="s">
        <v>14</v>
      </c>
      <c r="E44" s="71" t="s">
        <v>15</v>
      </c>
      <c r="F44" s="71"/>
      <c r="H44" s="61"/>
      <c r="I44" s="61"/>
      <c r="J44" s="61"/>
      <c r="K44" s="4"/>
      <c r="L44" s="4"/>
    </row>
    <row r="45" spans="1:12" ht="15" customHeight="1" x14ac:dyDescent="0.25">
      <c r="A45" s="61" t="s">
        <v>275</v>
      </c>
      <c r="B45" s="61"/>
      <c r="C45" s="61"/>
      <c r="D45" s="2"/>
      <c r="E45" s="72" t="s">
        <v>16</v>
      </c>
      <c r="F45" s="72"/>
      <c r="H45" s="61"/>
      <c r="I45" s="61"/>
      <c r="J45" s="61"/>
    </row>
    <row r="46" spans="1:12" ht="15" customHeight="1" x14ac:dyDescent="0.25">
      <c r="A46" s="61"/>
      <c r="B46" s="61"/>
      <c r="C46" s="61"/>
      <c r="D46" s="2"/>
      <c r="E46" s="73" t="s">
        <v>307</v>
      </c>
      <c r="F46" s="74"/>
      <c r="H46" s="61"/>
      <c r="I46" s="61"/>
      <c r="J46" s="61"/>
    </row>
    <row r="48" spans="1:12" ht="15" customHeight="1" x14ac:dyDescent="0.25">
      <c r="A48" s="68" t="s">
        <v>83</v>
      </c>
      <c r="B48" s="7"/>
      <c r="C48" s="8" t="s">
        <v>31</v>
      </c>
      <c r="D48" s="8" t="s">
        <v>32</v>
      </c>
      <c r="E48" s="8" t="s">
        <v>33</v>
      </c>
      <c r="F48" s="8"/>
      <c r="G48" s="61" t="s">
        <v>95</v>
      </c>
      <c r="H48" s="61"/>
    </row>
    <row r="49" spans="1:13" ht="15" customHeight="1" x14ac:dyDescent="0.25">
      <c r="A49" s="68"/>
      <c r="B49" t="s">
        <v>82</v>
      </c>
      <c r="C49">
        <f t="shared" ref="C49:C61" si="4">B10*$G$49+C10*$H$49+D10*$I$49</f>
        <v>185.3176248</v>
      </c>
      <c r="D49">
        <f t="shared" ref="D49:D61" si="5">B10*$G$50+C10*$H$50+D10*$I$50</f>
        <v>140.10500000000002</v>
      </c>
      <c r="E49">
        <f t="shared" ref="E49:E61" si="6">B10*$G$51+C10*$H$51+D10*$I$51</f>
        <v>258.4086337</v>
      </c>
      <c r="G49">
        <f>B4</f>
        <v>1747.62</v>
      </c>
      <c r="H49">
        <f>B5*(COS(M51))</f>
        <v>3.432988485499444E-14</v>
      </c>
      <c r="I49">
        <f>B6*(COS(M50))</f>
        <v>4.2836703151652442E-14</v>
      </c>
      <c r="K49" t="s">
        <v>51</v>
      </c>
      <c r="L49">
        <f>D4</f>
        <v>90</v>
      </c>
      <c r="M49">
        <f>RADIANS(L49)</f>
        <v>1.5707963267948966</v>
      </c>
    </row>
    <row r="50" spans="1:13" ht="15" customHeight="1" x14ac:dyDescent="0.25">
      <c r="B50" t="str">
        <f t="shared" ref="B50:B61" si="7">A26</f>
        <v>P1</v>
      </c>
      <c r="C50">
        <f t="shared" si="4"/>
        <v>322.10384219999997</v>
      </c>
      <c r="D50">
        <f t="shared" si="5"/>
        <v>-140.10499999999996</v>
      </c>
      <c r="E50">
        <f t="shared" si="6"/>
        <v>415.60902570000002</v>
      </c>
      <c r="G50">
        <f>0</f>
        <v>0</v>
      </c>
      <c r="H50">
        <f>B5*(SIN(M51))</f>
        <v>560.41999999999996</v>
      </c>
      <c r="I50">
        <f>(B6*(COS(M49)-COS(M50)*COS(M51)))/(SIN(M51))</f>
        <v>4.2836703151652442E-14</v>
      </c>
      <c r="K50" t="s">
        <v>93</v>
      </c>
      <c r="L50">
        <f>D5</f>
        <v>90</v>
      </c>
      <c r="M50">
        <f>RADIANS(L50)</f>
        <v>1.5707963267948966</v>
      </c>
    </row>
    <row r="51" spans="1:13" ht="15" customHeight="1" x14ac:dyDescent="0.25">
      <c r="B51" t="str">
        <f t="shared" si="7"/>
        <v>P2</v>
      </c>
      <c r="C51">
        <f t="shared" si="4"/>
        <v>530.55995580000001</v>
      </c>
      <c r="D51">
        <f t="shared" si="5"/>
        <v>-10.166018799999978</v>
      </c>
      <c r="E51">
        <f t="shared" si="6"/>
        <v>333.95293239999995</v>
      </c>
      <c r="G51">
        <f>0</f>
        <v>0</v>
      </c>
      <c r="H51">
        <f>0</f>
        <v>0</v>
      </c>
      <c r="I51">
        <f>B6*(SQRT(1-POWER(COS(M50),2)-(POWER(COS(M49)-(COS(M50)*COS(M51)),2))/(POWER(SIN(M51),2))))</f>
        <v>699.29</v>
      </c>
      <c r="K51" t="s">
        <v>94</v>
      </c>
      <c r="L51">
        <f>D6</f>
        <v>90</v>
      </c>
      <c r="M51">
        <f>RADIANS(L51)</f>
        <v>1.5707963267948966</v>
      </c>
    </row>
    <row r="52" spans="1:13" ht="15" customHeight="1" x14ac:dyDescent="0.25">
      <c r="B52" t="str">
        <f t="shared" si="7"/>
        <v>P3</v>
      </c>
      <c r="C52">
        <f t="shared" si="4"/>
        <v>530.55995580000001</v>
      </c>
      <c r="D52">
        <f t="shared" si="5"/>
        <v>290.3760188</v>
      </c>
      <c r="E52">
        <f t="shared" si="6"/>
        <v>333.95293239999995</v>
      </c>
      <c r="G52" s="65" t="s">
        <v>272</v>
      </c>
      <c r="H52" s="65"/>
    </row>
    <row r="53" spans="1:13" ht="15" customHeight="1" x14ac:dyDescent="0.25">
      <c r="B53" t="str">
        <f t="shared" si="7"/>
        <v>P4</v>
      </c>
      <c r="C53">
        <f t="shared" si="4"/>
        <v>322.10384219999997</v>
      </c>
      <c r="D53">
        <f t="shared" si="5"/>
        <v>420.31499999999994</v>
      </c>
      <c r="E53">
        <f t="shared" si="6"/>
        <v>415.60902570000002</v>
      </c>
      <c r="G53" s="6">
        <f>1/G49</f>
        <v>5.7220677263936104E-4</v>
      </c>
      <c r="H53">
        <f>-H49/(G49*H50)</f>
        <v>-3.5051912169368059E-20</v>
      </c>
      <c r="I53">
        <f>(H49*I50)/(G49*H50*I51)-I49/(G49*I51)</f>
        <v>-3.5051912169368059E-20</v>
      </c>
    </row>
    <row r="54" spans="1:13" ht="15" customHeight="1" x14ac:dyDescent="0.25">
      <c r="B54" t="str">
        <f t="shared" si="7"/>
        <v>P5</v>
      </c>
      <c r="C54">
        <f t="shared" si="4"/>
        <v>91.557811800000039</v>
      </c>
      <c r="D54">
        <f t="shared" si="5"/>
        <v>272.21841080000002</v>
      </c>
      <c r="E54">
        <f t="shared" si="6"/>
        <v>523.25772829999994</v>
      </c>
      <c r="G54" s="6">
        <f>0</f>
        <v>0</v>
      </c>
      <c r="H54" s="6">
        <f>1/H50</f>
        <v>1.7843760037115023E-3</v>
      </c>
      <c r="I54">
        <f>-I50/(H50*I51)</f>
        <v>-1.0930627519615826E-19</v>
      </c>
    </row>
    <row r="55" spans="1:13" ht="15" customHeight="1" x14ac:dyDescent="0.25">
      <c r="B55" t="str">
        <f t="shared" si="7"/>
        <v>P6</v>
      </c>
      <c r="C55">
        <f t="shared" si="4"/>
        <v>91.557811800000025</v>
      </c>
      <c r="D55">
        <f t="shared" si="5"/>
        <v>7.991589200000031</v>
      </c>
      <c r="E55">
        <f t="shared" si="6"/>
        <v>523.25772829999994</v>
      </c>
      <c r="G55" s="6">
        <f>0</f>
        <v>0</v>
      </c>
      <c r="H55">
        <f>0</f>
        <v>0</v>
      </c>
      <c r="I55" s="6">
        <f>1/I51</f>
        <v>1.430021879334754E-3</v>
      </c>
    </row>
    <row r="56" spans="1:13" ht="15" customHeight="1" x14ac:dyDescent="0.25">
      <c r="B56" t="str">
        <f t="shared" si="7"/>
        <v>P7</v>
      </c>
      <c r="C56">
        <f t="shared" si="4"/>
        <v>115.34291999999998</v>
      </c>
      <c r="D56">
        <f t="shared" si="5"/>
        <v>-140.10499999999999</v>
      </c>
      <c r="E56">
        <f t="shared" si="6"/>
        <v>81.208547699999997</v>
      </c>
      <c r="G56" s="6"/>
      <c r="I56" s="6"/>
    </row>
    <row r="57" spans="1:13" ht="15" customHeight="1" x14ac:dyDescent="0.25">
      <c r="B57" t="str">
        <f t="shared" si="7"/>
        <v>P8</v>
      </c>
      <c r="C57">
        <f t="shared" si="4"/>
        <v>343.25004419999999</v>
      </c>
      <c r="D57">
        <f t="shared" si="5"/>
        <v>10.166018799999998</v>
      </c>
      <c r="E57">
        <f t="shared" si="6"/>
        <v>-15.6920676</v>
      </c>
      <c r="G57" s="6"/>
      <c r="I57" s="6"/>
    </row>
    <row r="58" spans="1:13" ht="15" customHeight="1" x14ac:dyDescent="0.25">
      <c r="B58" t="str">
        <f t="shared" si="7"/>
        <v>P9</v>
      </c>
      <c r="C58">
        <f t="shared" si="4"/>
        <v>343.25004419999999</v>
      </c>
      <c r="D58">
        <f t="shared" si="5"/>
        <v>270.04398119999996</v>
      </c>
      <c r="E58">
        <f t="shared" si="6"/>
        <v>-15.6920676</v>
      </c>
      <c r="G58" s="6"/>
      <c r="I58" s="6"/>
    </row>
    <row r="59" spans="1:13" ht="15" customHeight="1" x14ac:dyDescent="0.25">
      <c r="B59" t="str">
        <f t="shared" si="7"/>
        <v>P10</v>
      </c>
      <c r="C59">
        <f t="shared" si="4"/>
        <v>115.34292000000002</v>
      </c>
      <c r="D59">
        <f t="shared" si="5"/>
        <v>420.31499999999994</v>
      </c>
      <c r="E59">
        <f t="shared" si="6"/>
        <v>81.208547699999997</v>
      </c>
      <c r="G59" s="6"/>
      <c r="I59" s="6"/>
    </row>
    <row r="60" spans="1:13" ht="15" customHeight="1" x14ac:dyDescent="0.25">
      <c r="B60" t="str">
        <f t="shared" si="7"/>
        <v>P11</v>
      </c>
      <c r="C60">
        <f t="shared" si="4"/>
        <v>-91.557811799999968</v>
      </c>
      <c r="D60">
        <f t="shared" si="5"/>
        <v>288.2015892</v>
      </c>
      <c r="E60">
        <f t="shared" si="6"/>
        <v>176.0322717</v>
      </c>
      <c r="G60" s="6"/>
      <c r="I60" s="6"/>
    </row>
    <row r="61" spans="1:13" ht="15" customHeight="1" x14ac:dyDescent="0.25">
      <c r="B61" t="str">
        <f t="shared" si="7"/>
        <v>P12</v>
      </c>
      <c r="C61">
        <f t="shared" si="4"/>
        <v>-91.557811799999982</v>
      </c>
      <c r="D61">
        <f t="shared" si="5"/>
        <v>-7.9915891999999884</v>
      </c>
      <c r="E61">
        <f t="shared" si="6"/>
        <v>176.0322717</v>
      </c>
      <c r="G61" s="6"/>
      <c r="I61" s="6"/>
    </row>
    <row r="62" spans="1:13" ht="15" customHeight="1" x14ac:dyDescent="0.25">
      <c r="A62" t="s">
        <v>203</v>
      </c>
      <c r="B62" t="s">
        <v>204</v>
      </c>
      <c r="C62">
        <f>AVERAGE(C50:C61)</f>
        <v>218.54279370000003</v>
      </c>
      <c r="D62">
        <f>AVERAGE(D50:D61)</f>
        <v>140.10499999999999</v>
      </c>
      <c r="E62">
        <f>AVERAGE(E50:E61)</f>
        <v>252.39473969999997</v>
      </c>
      <c r="G62" s="6"/>
      <c r="I62" s="6"/>
    </row>
    <row r="63" spans="1:13" ht="15" customHeight="1" x14ac:dyDescent="0.25">
      <c r="G63" s="6"/>
    </row>
    <row r="64" spans="1:13" ht="15" customHeight="1" x14ac:dyDescent="0.25">
      <c r="A64" s="12" t="s">
        <v>84</v>
      </c>
      <c r="G64" s="6"/>
    </row>
    <row r="65" spans="1:11" ht="15" customHeight="1" x14ac:dyDescent="0.25">
      <c r="A65" s="30" t="s">
        <v>211</v>
      </c>
      <c r="B65" t="s">
        <v>231</v>
      </c>
      <c r="C65">
        <f t="shared" ref="C65:E77" si="8">C49-C$62</f>
        <v>-33.225168900000028</v>
      </c>
      <c r="D65">
        <f t="shared" si="8"/>
        <v>0</v>
      </c>
      <c r="E65">
        <f t="shared" si="8"/>
        <v>6.0138940000000218</v>
      </c>
      <c r="G65" s="6" t="s">
        <v>209</v>
      </c>
      <c r="H65">
        <f>SQRT(POWER(C65,2)+POWER(D65,2)+POWER(E65,2))</f>
        <v>33.76505248739835</v>
      </c>
    </row>
    <row r="66" spans="1:11" ht="15" customHeight="1" x14ac:dyDescent="0.25">
      <c r="A66" s="4" t="s">
        <v>212</v>
      </c>
      <c r="B66" s="7" t="s">
        <v>36</v>
      </c>
      <c r="C66">
        <f t="shared" si="8"/>
        <v>103.56104849999994</v>
      </c>
      <c r="D66">
        <f t="shared" si="8"/>
        <v>-280.20999999999992</v>
      </c>
      <c r="E66">
        <f t="shared" si="8"/>
        <v>163.21428600000004</v>
      </c>
      <c r="G66" s="6" t="s">
        <v>37</v>
      </c>
      <c r="H66">
        <f>SQRT(POWER(C66,2)+POWER(D66,2)+POWER(E66,2))</f>
        <v>340.41362784252499</v>
      </c>
      <c r="J66" s="4" t="s">
        <v>314</v>
      </c>
      <c r="K66">
        <f>AVERAGE(H66:H77)</f>
        <v>340.40442885849637</v>
      </c>
    </row>
    <row r="67" spans="1:11" ht="15" customHeight="1" x14ac:dyDescent="0.25">
      <c r="A67" s="4" t="s">
        <v>213</v>
      </c>
      <c r="B67" s="7" t="s">
        <v>39</v>
      </c>
      <c r="C67">
        <f t="shared" si="8"/>
        <v>312.01716209999995</v>
      </c>
      <c r="D67">
        <f t="shared" si="8"/>
        <v>-150.27101879999998</v>
      </c>
      <c r="E67">
        <f t="shared" si="8"/>
        <v>81.558192699999978</v>
      </c>
      <c r="G67" s="6" t="s">
        <v>40</v>
      </c>
      <c r="H67">
        <f>SQRT(POWER(C67,2)+POWER(D67,2)+POWER(E67,2))</f>
        <v>355.79183145853409</v>
      </c>
      <c r="J67" s="4"/>
    </row>
    <row r="68" spans="1:11" ht="15" customHeight="1" x14ac:dyDescent="0.25">
      <c r="A68" s="4" t="s">
        <v>214</v>
      </c>
      <c r="B68" s="7" t="s">
        <v>42</v>
      </c>
      <c r="C68">
        <f t="shared" si="8"/>
        <v>312.01716209999995</v>
      </c>
      <c r="D68">
        <f t="shared" si="8"/>
        <v>150.27101880000001</v>
      </c>
      <c r="E68">
        <f t="shared" si="8"/>
        <v>81.558192699999978</v>
      </c>
      <c r="G68" s="6" t="s">
        <v>43</v>
      </c>
      <c r="H68">
        <f t="shared" ref="H68:H77" si="9">SQRT(POWER(C68,2)+POWER(D68,2)+POWER(E68,2))</f>
        <v>355.79183145853409</v>
      </c>
    </row>
    <row r="69" spans="1:11" ht="15" customHeight="1" x14ac:dyDescent="0.25">
      <c r="A69" s="4" t="s">
        <v>215</v>
      </c>
      <c r="B69" s="7" t="s">
        <v>45</v>
      </c>
      <c r="C69">
        <f t="shared" si="8"/>
        <v>103.56104849999994</v>
      </c>
      <c r="D69">
        <f t="shared" si="8"/>
        <v>280.20999999999992</v>
      </c>
      <c r="E69">
        <f t="shared" si="8"/>
        <v>163.21428600000004</v>
      </c>
      <c r="G69" s="6" t="s">
        <v>46</v>
      </c>
      <c r="H69">
        <f t="shared" si="9"/>
        <v>340.41362784252499</v>
      </c>
    </row>
    <row r="70" spans="1:11" ht="15" customHeight="1" x14ac:dyDescent="0.25">
      <c r="A70" s="4" t="s">
        <v>216</v>
      </c>
      <c r="B70" s="7" t="s">
        <v>48</v>
      </c>
      <c r="C70">
        <f t="shared" si="8"/>
        <v>-126.98498189999999</v>
      </c>
      <c r="D70">
        <f t="shared" si="8"/>
        <v>132.11341080000003</v>
      </c>
      <c r="E70">
        <f t="shared" si="8"/>
        <v>270.86298859999999</v>
      </c>
      <c r="G70" s="6" t="s">
        <v>49</v>
      </c>
      <c r="H70">
        <f t="shared" si="9"/>
        <v>327.02583618833029</v>
      </c>
    </row>
    <row r="71" spans="1:11" ht="15" customHeight="1" x14ac:dyDescent="0.25">
      <c r="A71" s="4" t="s">
        <v>217</v>
      </c>
      <c r="B71" s="7" t="s">
        <v>102</v>
      </c>
      <c r="C71">
        <f t="shared" si="8"/>
        <v>-126.98498190000001</v>
      </c>
      <c r="D71">
        <f t="shared" si="8"/>
        <v>-132.11341079999997</v>
      </c>
      <c r="E71">
        <f t="shared" si="8"/>
        <v>270.86298859999999</v>
      </c>
      <c r="G71" s="6" t="s">
        <v>135</v>
      </c>
      <c r="H71">
        <f t="shared" si="9"/>
        <v>327.02583618833023</v>
      </c>
    </row>
    <row r="72" spans="1:11" ht="15" customHeight="1" x14ac:dyDescent="0.25">
      <c r="A72" s="4" t="s">
        <v>218</v>
      </c>
      <c r="B72" s="7" t="s">
        <v>122</v>
      </c>
      <c r="C72">
        <f t="shared" si="8"/>
        <v>-103.19987370000005</v>
      </c>
      <c r="D72">
        <f t="shared" si="8"/>
        <v>-280.20999999999998</v>
      </c>
      <c r="E72">
        <f t="shared" si="8"/>
        <v>-171.18619199999998</v>
      </c>
      <c r="G72" s="6" t="s">
        <v>136</v>
      </c>
      <c r="H72">
        <f t="shared" si="9"/>
        <v>344.1984461951518</v>
      </c>
    </row>
    <row r="73" spans="1:11" ht="15" customHeight="1" x14ac:dyDescent="0.25">
      <c r="A73" s="4" t="s">
        <v>219</v>
      </c>
      <c r="B73" s="7" t="s">
        <v>123</v>
      </c>
      <c r="C73">
        <f t="shared" si="8"/>
        <v>124.70725049999996</v>
      </c>
      <c r="D73">
        <f t="shared" si="8"/>
        <v>-129.9389812</v>
      </c>
      <c r="E73">
        <f t="shared" si="8"/>
        <v>-268.08680729999998</v>
      </c>
      <c r="G73" s="6" t="s">
        <v>137</v>
      </c>
      <c r="H73">
        <f t="shared" si="9"/>
        <v>322.96528205191191</v>
      </c>
    </row>
    <row r="74" spans="1:11" ht="15" customHeight="1" x14ac:dyDescent="0.25">
      <c r="A74" s="4" t="s">
        <v>220</v>
      </c>
      <c r="B74" s="7" t="s">
        <v>124</v>
      </c>
      <c r="C74">
        <f t="shared" si="8"/>
        <v>124.70725049999996</v>
      </c>
      <c r="D74">
        <f t="shared" si="8"/>
        <v>129.93898119999997</v>
      </c>
      <c r="E74">
        <f t="shared" si="8"/>
        <v>-268.08680729999998</v>
      </c>
      <c r="G74" s="6" t="s">
        <v>138</v>
      </c>
      <c r="H74">
        <f t="shared" si="9"/>
        <v>322.96528205191191</v>
      </c>
    </row>
    <row r="75" spans="1:11" ht="15" customHeight="1" x14ac:dyDescent="0.25">
      <c r="A75" s="4" t="s">
        <v>221</v>
      </c>
      <c r="B75" s="7" t="s">
        <v>125</v>
      </c>
      <c r="C75">
        <f t="shared" si="8"/>
        <v>-103.19987370000001</v>
      </c>
      <c r="D75">
        <f t="shared" si="8"/>
        <v>280.20999999999992</v>
      </c>
      <c r="E75">
        <f t="shared" si="8"/>
        <v>-171.18619199999998</v>
      </c>
      <c r="G75" s="6" t="s">
        <v>139</v>
      </c>
      <c r="H75">
        <f t="shared" si="9"/>
        <v>344.19844619515175</v>
      </c>
    </row>
    <row r="76" spans="1:11" ht="15" customHeight="1" x14ac:dyDescent="0.25">
      <c r="A76" s="4" t="s">
        <v>222</v>
      </c>
      <c r="B76" s="7" t="s">
        <v>126</v>
      </c>
      <c r="C76">
        <f t="shared" si="8"/>
        <v>-310.10060550000003</v>
      </c>
      <c r="D76">
        <f t="shared" si="8"/>
        <v>148.09658920000001</v>
      </c>
      <c r="E76">
        <f t="shared" si="8"/>
        <v>-76.362467999999978</v>
      </c>
      <c r="G76" s="6" t="s">
        <v>140</v>
      </c>
      <c r="H76">
        <f t="shared" si="9"/>
        <v>352.0315494145251</v>
      </c>
    </row>
    <row r="77" spans="1:11" ht="15" customHeight="1" x14ac:dyDescent="0.25">
      <c r="A77" s="4" t="s">
        <v>223</v>
      </c>
      <c r="B77" s="7" t="s">
        <v>127</v>
      </c>
      <c r="C77">
        <f t="shared" si="8"/>
        <v>-310.10060550000003</v>
      </c>
      <c r="D77">
        <f t="shared" si="8"/>
        <v>-148.09658919999998</v>
      </c>
      <c r="E77">
        <f t="shared" si="8"/>
        <v>-76.362467999999978</v>
      </c>
      <c r="G77" s="6" t="s">
        <v>141</v>
      </c>
      <c r="H77">
        <f t="shared" si="9"/>
        <v>352.0315494145251</v>
      </c>
    </row>
    <row r="79" spans="1:11" ht="15" customHeight="1" x14ac:dyDescent="0.25">
      <c r="A79" s="17" t="s">
        <v>157</v>
      </c>
      <c r="B79" s="7" t="str">
        <f t="shared" ref="B79:B84" si="10">B66</f>
        <v>vector P1</v>
      </c>
      <c r="C79">
        <f t="shared" ref="C79:E84" si="11">C66/$K$66</f>
        <v>0.30422943922110224</v>
      </c>
      <c r="D79">
        <f t="shared" si="11"/>
        <v>-0.82316790336614909</v>
      </c>
      <c r="E79">
        <f t="shared" si="11"/>
        <v>0.47947168768431925</v>
      </c>
      <c r="G79" s="6" t="s">
        <v>34</v>
      </c>
      <c r="H79">
        <f t="shared" ref="H79:H84" si="12">SQRT(POWER(C79,2)+POWER(D79,2)+POWER(E79,2))</f>
        <v>1.0000270236907889</v>
      </c>
      <c r="J79" s="4" t="s">
        <v>314</v>
      </c>
      <c r="K79">
        <f>AVERAGE(H79:H90)</f>
        <v>0.99999999999999989</v>
      </c>
    </row>
    <row r="80" spans="1:11" ht="15" customHeight="1" x14ac:dyDescent="0.25">
      <c r="A80" s="4"/>
      <c r="B80" s="7" t="str">
        <f t="shared" si="10"/>
        <v>vector P2</v>
      </c>
      <c r="C80">
        <f t="shared" si="11"/>
        <v>0.9166072343603473</v>
      </c>
      <c r="D80">
        <f t="shared" si="11"/>
        <v>-0.44144848321719848</v>
      </c>
      <c r="E80">
        <f t="shared" si="11"/>
        <v>0.23959204342168863</v>
      </c>
      <c r="G80" s="6" t="s">
        <v>37</v>
      </c>
      <c r="H80">
        <f t="shared" si="12"/>
        <v>1.0452032973003242</v>
      </c>
      <c r="J80" s="4"/>
    </row>
    <row r="81" spans="1:12" ht="15" customHeight="1" x14ac:dyDescent="0.25">
      <c r="A81" s="4"/>
      <c r="B81" s="7" t="str">
        <f t="shared" si="10"/>
        <v>vector P3</v>
      </c>
      <c r="C81">
        <f t="shared" si="11"/>
        <v>0.9166072343603473</v>
      </c>
      <c r="D81">
        <f t="shared" si="11"/>
        <v>0.4414484832171986</v>
      </c>
      <c r="E81">
        <f t="shared" si="11"/>
        <v>0.23959204342168863</v>
      </c>
      <c r="G81" s="6" t="s">
        <v>40</v>
      </c>
      <c r="H81">
        <f t="shared" si="12"/>
        <v>1.0452032973003245</v>
      </c>
    </row>
    <row r="82" spans="1:12" ht="15" customHeight="1" x14ac:dyDescent="0.25">
      <c r="A82" s="4"/>
      <c r="B82" s="7" t="str">
        <f t="shared" si="10"/>
        <v>vector P4</v>
      </c>
      <c r="C82">
        <f t="shared" si="11"/>
        <v>0.30422943922110224</v>
      </c>
      <c r="D82">
        <f t="shared" si="11"/>
        <v>0.82316790336614909</v>
      </c>
      <c r="E82">
        <f t="shared" si="11"/>
        <v>0.47947168768431925</v>
      </c>
      <c r="G82" s="6" t="s">
        <v>43</v>
      </c>
      <c r="H82">
        <f t="shared" si="12"/>
        <v>1.0000270236907889</v>
      </c>
    </row>
    <row r="83" spans="1:12" ht="15" customHeight="1" x14ac:dyDescent="0.25">
      <c r="A83" s="4"/>
      <c r="B83" s="7" t="str">
        <f t="shared" si="10"/>
        <v>vector P5</v>
      </c>
      <c r="C83">
        <f t="shared" si="11"/>
        <v>-0.37304150925952473</v>
      </c>
      <c r="D83">
        <f t="shared" si="11"/>
        <v>0.38810720307907215</v>
      </c>
      <c r="E83">
        <f t="shared" si="11"/>
        <v>0.79570935521698438</v>
      </c>
      <c r="G83" s="6" t="s">
        <v>46</v>
      </c>
      <c r="H83">
        <f t="shared" si="12"/>
        <v>0.96069794768819683</v>
      </c>
    </row>
    <row r="84" spans="1:12" ht="15" customHeight="1" x14ac:dyDescent="0.25">
      <c r="B84" s="7" t="str">
        <f t="shared" si="10"/>
        <v>vector P6</v>
      </c>
      <c r="C84">
        <f t="shared" si="11"/>
        <v>-0.37304150925952473</v>
      </c>
      <c r="D84">
        <f t="shared" si="11"/>
        <v>-0.38810720307907198</v>
      </c>
      <c r="E84">
        <f t="shared" si="11"/>
        <v>0.79570935521698438</v>
      </c>
      <c r="G84" s="6" t="s">
        <v>49</v>
      </c>
      <c r="H84">
        <f t="shared" si="12"/>
        <v>0.96069794768819672</v>
      </c>
    </row>
    <row r="85" spans="1:12" ht="15" customHeight="1" x14ac:dyDescent="0.25">
      <c r="B85" s="7" t="str">
        <f t="shared" ref="B85:B90" si="13">B72</f>
        <v>vector P7</v>
      </c>
      <c r="C85">
        <f t="shared" ref="C85:E90" si="14">C72/$K$66</f>
        <v>-0.30316842247343229</v>
      </c>
      <c r="D85">
        <f t="shared" si="14"/>
        <v>-0.82316790336614931</v>
      </c>
      <c r="E85">
        <f t="shared" si="14"/>
        <v>-0.50289061330386164</v>
      </c>
      <c r="G85" s="6" t="s">
        <v>135</v>
      </c>
      <c r="H85">
        <f t="shared" ref="H85:H90" si="15">SQRT(POWER(C85,2)+POWER(D85,2)+POWER(E85,2))</f>
        <v>1.0111456168457567</v>
      </c>
    </row>
    <row r="86" spans="1:12" ht="15" customHeight="1" x14ac:dyDescent="0.25">
      <c r="B86" s="7" t="str">
        <f t="shared" si="13"/>
        <v>vector P8</v>
      </c>
      <c r="C86">
        <f t="shared" si="14"/>
        <v>0.36635025847986202</v>
      </c>
      <c r="D86">
        <f t="shared" si="14"/>
        <v>-0.38171942014895077</v>
      </c>
      <c r="E86">
        <f t="shared" si="14"/>
        <v>-0.78755381708456473</v>
      </c>
      <c r="G86" s="6" t="s">
        <v>136</v>
      </c>
      <c r="H86">
        <f t="shared" si="15"/>
        <v>0.94876933045476386</v>
      </c>
    </row>
    <row r="87" spans="1:12" ht="15" customHeight="1" x14ac:dyDescent="0.25">
      <c r="B87" s="7" t="str">
        <f t="shared" si="13"/>
        <v>vector P9</v>
      </c>
      <c r="C87">
        <f t="shared" si="14"/>
        <v>0.36635025847986202</v>
      </c>
      <c r="D87">
        <f t="shared" si="14"/>
        <v>0.38171942014895072</v>
      </c>
      <c r="E87">
        <f t="shared" si="14"/>
        <v>-0.78755381708456473</v>
      </c>
      <c r="G87" s="6" t="s">
        <v>137</v>
      </c>
      <c r="H87">
        <f t="shared" si="15"/>
        <v>0.94876933045476386</v>
      </c>
    </row>
    <row r="88" spans="1:12" ht="15" customHeight="1" x14ac:dyDescent="0.25">
      <c r="B88" s="7" t="str">
        <f t="shared" si="13"/>
        <v>vector P10</v>
      </c>
      <c r="C88">
        <f t="shared" si="14"/>
        <v>-0.30316842247343218</v>
      </c>
      <c r="D88">
        <f t="shared" si="14"/>
        <v>0.82316790336614909</v>
      </c>
      <c r="E88">
        <f t="shared" si="14"/>
        <v>-0.50289061330386164</v>
      </c>
      <c r="G88" s="6" t="s">
        <v>138</v>
      </c>
      <c r="H88">
        <f t="shared" si="15"/>
        <v>1.0111456168457564</v>
      </c>
    </row>
    <row r="89" spans="1:12" ht="15" customHeight="1" x14ac:dyDescent="0.25">
      <c r="B89" s="7" t="str">
        <f t="shared" si="13"/>
        <v>vector P11</v>
      </c>
      <c r="C89">
        <f t="shared" si="14"/>
        <v>-0.91097700032835527</v>
      </c>
      <c r="D89">
        <f t="shared" si="14"/>
        <v>0.43506070028707727</v>
      </c>
      <c r="E89">
        <f t="shared" si="14"/>
        <v>-0.22432865593456569</v>
      </c>
      <c r="G89" s="6" t="s">
        <v>139</v>
      </c>
      <c r="H89">
        <f t="shared" si="15"/>
        <v>1.0341567840201693</v>
      </c>
    </row>
    <row r="90" spans="1:12" ht="15" customHeight="1" x14ac:dyDescent="0.25">
      <c r="B90" s="7" t="str">
        <f t="shared" si="13"/>
        <v>vector P12</v>
      </c>
      <c r="C90">
        <f t="shared" si="14"/>
        <v>-0.91097700032835527</v>
      </c>
      <c r="D90">
        <f t="shared" si="14"/>
        <v>-0.43506070028707722</v>
      </c>
      <c r="E90">
        <f t="shared" si="14"/>
        <v>-0.22432865593456569</v>
      </c>
      <c r="G90" s="6" t="s">
        <v>140</v>
      </c>
      <c r="H90">
        <f t="shared" si="15"/>
        <v>1.0341567840201691</v>
      </c>
    </row>
    <row r="92" spans="1:12" ht="15" customHeight="1" x14ac:dyDescent="0.25">
      <c r="A92" s="19" t="s">
        <v>336</v>
      </c>
      <c r="B92" s="7"/>
      <c r="C92" t="s">
        <v>63</v>
      </c>
      <c r="D92" t="s">
        <v>64</v>
      </c>
      <c r="E92" t="s">
        <v>65</v>
      </c>
      <c r="J92" t="s">
        <v>87</v>
      </c>
      <c r="K92" t="s">
        <v>88</v>
      </c>
    </row>
    <row r="93" spans="1:12" ht="15" customHeight="1" x14ac:dyDescent="0.25">
      <c r="B93" s="7" t="str">
        <f t="shared" ref="B93:B104" si="16">E11</f>
        <v>P1*</v>
      </c>
      <c r="C93">
        <f>SIN($I$28)*COS($I$29)</f>
        <v>0.25605054490695095</v>
      </c>
      <c r="D93">
        <f>SIN($I$28)*SIN($I$29)</f>
        <v>-0.81569454313544798</v>
      </c>
      <c r="E93">
        <f>COS($I$28)</f>
        <v>0.51872972803947359</v>
      </c>
      <c r="G93" s="6" t="s">
        <v>66</v>
      </c>
      <c r="H93">
        <f t="shared" ref="H93:H98" si="17">SQRT(POWER(C93,2)+POWER(D93,2)+POWER(E93,2))</f>
        <v>1</v>
      </c>
      <c r="I93" s="6"/>
      <c r="J93">
        <f>ACOS((C93*C94+D93*D94+E93*E94)/(SQRT(C93^2+D93^2+E93^2)*SQRT(C94^2+D94^2+E94^2)))</f>
        <v>0.84018813916295632</v>
      </c>
      <c r="K93">
        <f t="shared" ref="K93:K98" si="18">DEGREES(J93)</f>
        <v>48.139234370987673</v>
      </c>
      <c r="L93" t="s">
        <v>80</v>
      </c>
    </row>
    <row r="94" spans="1:12" ht="15" customHeight="1" x14ac:dyDescent="0.25">
      <c r="B94" s="7" t="str">
        <f t="shared" si="16"/>
        <v>P2*</v>
      </c>
      <c r="C94">
        <f>$C$109*C93+$D$109*D93+$E$109*E93</f>
        <v>-0.46646230947972078</v>
      </c>
      <c r="D94">
        <f>$C$110*C93+$D$110*D93+$E$110*E93</f>
        <v>-0.87266636537400155</v>
      </c>
      <c r="E94">
        <f>$C$111*C93+$D$111*D93+$E$111*E93</f>
        <v>0.14445182096385875</v>
      </c>
      <c r="G94" s="6" t="s">
        <v>67</v>
      </c>
      <c r="H94">
        <f t="shared" si="17"/>
        <v>1</v>
      </c>
      <c r="J94">
        <f t="shared" ref="J94:J103" si="19">ACOS((C94*C95+D94*D95+E94*E95)/(SQRT(C94^2+D94^2+E94^2)*SQRT(C95^2+D95^2+E95^2)))</f>
        <v>0.84018813916295632</v>
      </c>
      <c r="K94">
        <f t="shared" si="18"/>
        <v>48.139234370987673</v>
      </c>
      <c r="L94" t="s">
        <v>81</v>
      </c>
    </row>
    <row r="95" spans="1:12" ht="15" customHeight="1" x14ac:dyDescent="0.25">
      <c r="B95" s="7" t="str">
        <f t="shared" si="16"/>
        <v>P3*</v>
      </c>
      <c r="C95">
        <f>$C$109*C94+$D$109*D94+$E$109*E94</f>
        <v>-0.56351875416290842</v>
      </c>
      <c r="D95">
        <f>$C$110*C94+$D$110*D94+$E$110*E94</f>
        <v>-0.56347580171801182</v>
      </c>
      <c r="E95">
        <f>$C$111*C94+$D$111*D94+$E$111*E94</f>
        <v>-0.60410399318737107</v>
      </c>
      <c r="G95" s="6" t="s">
        <v>68</v>
      </c>
      <c r="H95">
        <f t="shared" si="17"/>
        <v>0.99999999999999989</v>
      </c>
      <c r="J95">
        <f t="shared" si="19"/>
        <v>0.84018813916295598</v>
      </c>
      <c r="K95">
        <f t="shared" si="18"/>
        <v>48.139234370987651</v>
      </c>
      <c r="L95" t="s">
        <v>89</v>
      </c>
    </row>
    <row r="96" spans="1:12" ht="15" customHeight="1" x14ac:dyDescent="0.25">
      <c r="B96" s="7" t="str">
        <f t="shared" si="16"/>
        <v>P4*</v>
      </c>
      <c r="C96">
        <f>$C$109*C95+$D$109*D95+$E$109*E95</f>
        <v>6.1937655540575565E-2</v>
      </c>
      <c r="D96">
        <f>$C$110*C95+$D$110*D95+$E$110*E95</f>
        <v>-0.19731341582346831</v>
      </c>
      <c r="E96">
        <f>$C$111*C95+$D$111*D95+$E$111*E95</f>
        <v>-0.97838190026298633</v>
      </c>
      <c r="G96" s="6" t="s">
        <v>69</v>
      </c>
      <c r="H96">
        <f t="shared" si="17"/>
        <v>1</v>
      </c>
      <c r="J96">
        <f t="shared" si="19"/>
        <v>0.84018813916295632</v>
      </c>
      <c r="K96">
        <f t="shared" si="18"/>
        <v>48.139234370987673</v>
      </c>
      <c r="L96" t="s">
        <v>90</v>
      </c>
    </row>
    <row r="97" spans="1:15" ht="15" customHeight="1" x14ac:dyDescent="0.25">
      <c r="B97" s="7" t="str">
        <f t="shared" si="16"/>
        <v>P5*</v>
      </c>
      <c r="C97">
        <f>$C$109*C96+$D$109*D96+$E$109*E96</f>
        <v>0.78445050992724752</v>
      </c>
      <c r="D97">
        <f>$C$110*C96+$D$110*D96+$E$110*E96</f>
        <v>-0.14034159358491449</v>
      </c>
      <c r="E97">
        <f>$C$111*C96+$D$111*D96+$E$111*E96</f>
        <v>-0.60410399318737174</v>
      </c>
      <c r="G97" s="6" t="s">
        <v>70</v>
      </c>
      <c r="H97">
        <f t="shared" si="17"/>
        <v>1</v>
      </c>
      <c r="J97">
        <f t="shared" si="19"/>
        <v>0.84018813916295632</v>
      </c>
      <c r="K97">
        <f t="shared" si="18"/>
        <v>48.139234370987673</v>
      </c>
      <c r="L97" t="s">
        <v>91</v>
      </c>
    </row>
    <row r="98" spans="1:15" ht="15" customHeight="1" x14ac:dyDescent="0.25">
      <c r="B98" s="7" t="str">
        <f t="shared" si="16"/>
        <v>P6*</v>
      </c>
      <c r="C98">
        <f>$C$109*C97+$D$109*D97+$E$109*E97</f>
        <v>0.8815069546104356</v>
      </c>
      <c r="D98">
        <f>$C$110*C97+$D$110*D97+$E$110*E97</f>
        <v>-0.44953215724090412</v>
      </c>
      <c r="E98">
        <f>$C$111*C97+$D$111*D97+$E$111*E97</f>
        <v>0.14445182096385828</v>
      </c>
      <c r="G98" s="6" t="s">
        <v>71</v>
      </c>
      <c r="H98">
        <f t="shared" si="17"/>
        <v>1</v>
      </c>
      <c r="J98">
        <f>ACOS((C98*C93+D98*D93+E98*E93)/(SQRT(C98^2+D98^2+E98^2)*SQRT(C93^2+D93^2+E93^2)))</f>
        <v>0.84018813916295698</v>
      </c>
      <c r="K98">
        <f t="shared" si="18"/>
        <v>48.139234370987708</v>
      </c>
      <c r="L98" t="s">
        <v>92</v>
      </c>
    </row>
    <row r="99" spans="1:15" ht="15" customHeight="1" x14ac:dyDescent="0.25">
      <c r="B99" s="7" t="str">
        <f t="shared" si="16"/>
        <v>P7*</v>
      </c>
      <c r="C99">
        <f>SIN($I$28+I31)*COS($I$29)</f>
        <v>-6.193765554057603E-2</v>
      </c>
      <c r="D99">
        <f>SIN($I$28+I31)*SIN($I$29)</f>
        <v>0.19731341582346851</v>
      </c>
      <c r="E99">
        <f>COS($I$28+I31)</f>
        <v>0.97838190026298621</v>
      </c>
      <c r="G99" s="6" t="s">
        <v>71</v>
      </c>
      <c r="H99">
        <f t="shared" ref="H99:H104" si="20">SQRT(POWER(C99,2)+POWER(D99,2)+POWER(E99,2))</f>
        <v>1</v>
      </c>
      <c r="J99">
        <f t="shared" si="19"/>
        <v>0.84018813916295598</v>
      </c>
      <c r="K99">
        <f t="shared" ref="K99:K104" si="21">DEGREES(J99)</f>
        <v>48.139234370987651</v>
      </c>
    </row>
    <row r="100" spans="1:15" ht="15" customHeight="1" x14ac:dyDescent="0.25">
      <c r="B100" s="7" t="str">
        <f t="shared" si="16"/>
        <v>P8*</v>
      </c>
      <c r="C100">
        <f>$C$109*C99+$D$109*D99+$E$109*E99</f>
        <v>-0.78445050992724763</v>
      </c>
      <c r="D100">
        <f>$C$110*C99+$D$110*D99+$E$110*E99</f>
        <v>0.14034159358491488</v>
      </c>
      <c r="E100">
        <f>$C$111*C99+$D$111*D99+$E$111*E99</f>
        <v>0.6041039931873714</v>
      </c>
      <c r="G100" s="6" t="s">
        <v>71</v>
      </c>
      <c r="H100">
        <f t="shared" si="20"/>
        <v>1</v>
      </c>
      <c r="J100">
        <f t="shared" si="19"/>
        <v>0.84018813916295598</v>
      </c>
      <c r="K100">
        <f t="shared" si="21"/>
        <v>48.139234370987651</v>
      </c>
    </row>
    <row r="101" spans="1:15" ht="15" customHeight="1" x14ac:dyDescent="0.25">
      <c r="B101" s="7" t="str">
        <f t="shared" si="16"/>
        <v>P9*</v>
      </c>
      <c r="C101">
        <f>$C$109*C100+$D$109*D100+$E$109*E100</f>
        <v>-0.88150695461043527</v>
      </c>
      <c r="D101">
        <f>$C$110*C100+$D$110*D100+$E$110*E100</f>
        <v>0.44953215724090456</v>
      </c>
      <c r="E101">
        <f>$C$111*C100+$D$111*D100+$E$111*E100</f>
        <v>-0.14445182096385828</v>
      </c>
      <c r="G101" s="6" t="s">
        <v>71</v>
      </c>
      <c r="H101">
        <f t="shared" si="20"/>
        <v>1</v>
      </c>
      <c r="J101">
        <f t="shared" si="19"/>
        <v>0.84018813916295598</v>
      </c>
      <c r="K101">
        <f t="shared" si="21"/>
        <v>48.139234370987651</v>
      </c>
    </row>
    <row r="102" spans="1:15" ht="15" customHeight="1" x14ac:dyDescent="0.25">
      <c r="B102" s="7" t="str">
        <f t="shared" si="16"/>
        <v>P10*</v>
      </c>
      <c r="C102">
        <f>$C$109*C101+$D$109*D101+$E$109*E101</f>
        <v>-0.25605054490695134</v>
      </c>
      <c r="D102">
        <f>$C$110*C101+$D$110*D101+$E$110*E101</f>
        <v>0.81569454313544798</v>
      </c>
      <c r="E102">
        <f>$C$111*C101+$D$111*D101+$E$111*E101</f>
        <v>-0.51872972803947348</v>
      </c>
      <c r="G102" s="6" t="s">
        <v>71</v>
      </c>
      <c r="H102">
        <f t="shared" si="20"/>
        <v>1</v>
      </c>
      <c r="J102">
        <f t="shared" si="19"/>
        <v>0.84018813916295598</v>
      </c>
      <c r="K102">
        <f t="shared" si="21"/>
        <v>48.139234370987651</v>
      </c>
    </row>
    <row r="103" spans="1:15" ht="15" customHeight="1" x14ac:dyDescent="0.25">
      <c r="B103" s="7" t="str">
        <f t="shared" si="16"/>
        <v>P11*</v>
      </c>
      <c r="C103">
        <f>$C$109*C102+$D$109*D102+$E$109*E102</f>
        <v>0.46646230947972045</v>
      </c>
      <c r="D103">
        <f>$C$110*C102+$D$110*D102+$E$110*E102</f>
        <v>0.87266636537400166</v>
      </c>
      <c r="E103">
        <f>$C$111*C102+$D$111*D102+$E$111*E102</f>
        <v>-0.14445182096385897</v>
      </c>
      <c r="G103" s="6" t="s">
        <v>71</v>
      </c>
      <c r="H103">
        <f t="shared" si="20"/>
        <v>0.99999999999999989</v>
      </c>
      <c r="J103">
        <f t="shared" si="19"/>
        <v>0.84018813916295632</v>
      </c>
      <c r="K103">
        <f t="shared" si="21"/>
        <v>48.139234370987673</v>
      </c>
    </row>
    <row r="104" spans="1:15" ht="15" customHeight="1" x14ac:dyDescent="0.25">
      <c r="B104" s="7" t="str">
        <f t="shared" si="16"/>
        <v>P12*</v>
      </c>
      <c r="C104">
        <f>$C$109*C103+$D$109*D103+$E$109*E103</f>
        <v>0.56351875416290842</v>
      </c>
      <c r="D104">
        <f>$C$110*C103+$D$110*D103+$E$110*E103</f>
        <v>0.56347580171801193</v>
      </c>
      <c r="E104">
        <f>$C$111*C103+$D$111*D103+$E$111*E103</f>
        <v>0.60410399318737074</v>
      </c>
      <c r="G104" s="6" t="s">
        <v>71</v>
      </c>
      <c r="H104">
        <f t="shared" si="20"/>
        <v>0.99999999999999978</v>
      </c>
      <c r="J104">
        <f>ACOS((C104*C93+D104*D93+E104*E93)/(SQRT(C104^2+D104^2+E104^2)*SQRT(C93^2+D93^2+E93^2)))</f>
        <v>1.5727644805534564</v>
      </c>
      <c r="K104">
        <f t="shared" si="21"/>
        <v>90.112766903798288</v>
      </c>
    </row>
    <row r="105" spans="1:15" ht="15" customHeight="1" x14ac:dyDescent="0.25">
      <c r="B105" s="7"/>
      <c r="G105" s="6"/>
    </row>
    <row r="106" spans="1:15" ht="15" customHeight="1" x14ac:dyDescent="0.25">
      <c r="A106" s="68" t="s">
        <v>186</v>
      </c>
      <c r="B106" s="7" t="s">
        <v>187</v>
      </c>
      <c r="C106">
        <f>SIN($I$28-(PI()-I31)/2)*COS($I$29)</f>
        <v>0.27484545320761239</v>
      </c>
      <c r="D106">
        <f>SIN($I$28-((PI()-I31)/2))*SIN($I$29)</f>
        <v>-0.8755690657425057</v>
      </c>
      <c r="E106">
        <f>COS($I$28-((PI()-I31)/2))</f>
        <v>-0.39728930008986868</v>
      </c>
      <c r="G106" s="6"/>
      <c r="O106" s="6"/>
    </row>
    <row r="107" spans="1:15" ht="15" customHeight="1" x14ac:dyDescent="0.25">
      <c r="A107" s="68"/>
      <c r="B107" s="7"/>
      <c r="G107" s="6"/>
    </row>
    <row r="108" spans="1:15" ht="15" customHeight="1" x14ac:dyDescent="0.25">
      <c r="B108" s="7"/>
      <c r="G108" s="6"/>
    </row>
    <row r="109" spans="1:15" ht="15" customHeight="1" x14ac:dyDescent="0.25">
      <c r="A109" s="67" t="s">
        <v>180</v>
      </c>
      <c r="C109">
        <f>(C106^2)*(1-COS(G110))+COS(G110)</f>
        <v>0.53777001157444904</v>
      </c>
      <c r="D109">
        <f>C106*D106*(1-COS(G110))-E106*SIN(G110)</f>
        <v>0.22373953818528319</v>
      </c>
      <c r="E109">
        <f>C106*E106*(1-COS(G110))+D106*SIN(G110)</f>
        <v>-0.81286163256968469</v>
      </c>
      <c r="G109" s="6" t="s">
        <v>189</v>
      </c>
      <c r="H109" t="s">
        <v>188</v>
      </c>
    </row>
    <row r="110" spans="1:15" ht="15" customHeight="1" x14ac:dyDescent="0.25">
      <c r="A110" s="68"/>
      <c r="B110" t="s">
        <v>313</v>
      </c>
      <c r="C110">
        <f>D106*C106*(1-COS(G110))+E106*SIN(G110)</f>
        <v>-0.46438571487384789</v>
      </c>
      <c r="D110">
        <f>(D106^2)*(1-COS(G110))+COS(G110)</f>
        <v>0.88331059444260207</v>
      </c>
      <c r="E110">
        <f>D106*E106*(1-COS(G110))-C106*SIN(G110)</f>
        <v>-6.4096033937849406E-2</v>
      </c>
      <c r="G110" s="6">
        <f>RADIANS(H110)</f>
        <v>1.0471975511965976</v>
      </c>
      <c r="H110">
        <v>60</v>
      </c>
    </row>
    <row r="111" spans="1:15" ht="15" customHeight="1" x14ac:dyDescent="0.25">
      <c r="C111">
        <f>E106*C106*(1-COS(G110))-D106*SIN(G110)</f>
        <v>0.70366847483194972</v>
      </c>
      <c r="D111">
        <f>D106*E106*(1-COS(G110))+C106*SIN(G110)</f>
        <v>0.41195025524702966</v>
      </c>
      <c r="E111">
        <f>(E106^2)*(1-COS(G110))+COS(G110)</f>
        <v>0.578919393982949</v>
      </c>
      <c r="G111" s="6"/>
    </row>
    <row r="113" spans="1:8" ht="15" customHeight="1" x14ac:dyDescent="0.25">
      <c r="A113" s="12" t="s">
        <v>86</v>
      </c>
      <c r="B113" s="7" t="s">
        <v>73</v>
      </c>
      <c r="C113">
        <f t="shared" ref="C113:E118" si="22">C93-C79</f>
        <v>-4.8178894314151288E-2</v>
      </c>
      <c r="D113">
        <f t="shared" si="22"/>
        <v>7.4733602307011093E-3</v>
      </c>
      <c r="E113">
        <f t="shared" si="22"/>
        <v>3.9258040355154344E-2</v>
      </c>
      <c r="G113" s="6" t="s">
        <v>78</v>
      </c>
      <c r="H113">
        <f t="shared" ref="H113:H118" si="23">SQRT(POWER(C113,2)+POWER(D113,2)+POWER(E113,2))</f>
        <v>6.2595932000401686E-2</v>
      </c>
    </row>
    <row r="114" spans="1:8" ht="15" customHeight="1" x14ac:dyDescent="0.25">
      <c r="B114" s="7" t="s">
        <v>74</v>
      </c>
      <c r="C114">
        <f t="shared" si="22"/>
        <v>-1.383069543840068</v>
      </c>
      <c r="D114">
        <f t="shared" si="22"/>
        <v>-0.43121788215680307</v>
      </c>
      <c r="E114">
        <f t="shared" si="22"/>
        <v>-9.5140222457829882E-2</v>
      </c>
      <c r="G114" s="6" t="s">
        <v>78</v>
      </c>
      <c r="H114">
        <f t="shared" si="23"/>
        <v>1.4518546369795764</v>
      </c>
    </row>
    <row r="115" spans="1:8" ht="15" customHeight="1" x14ac:dyDescent="0.25">
      <c r="B115" s="7" t="s">
        <v>75</v>
      </c>
      <c r="C115">
        <f t="shared" si="22"/>
        <v>-1.4801259885232558</v>
      </c>
      <c r="D115">
        <f t="shared" si="22"/>
        <v>-1.0049242849352105</v>
      </c>
      <c r="E115">
        <f t="shared" si="22"/>
        <v>-0.84369603660905967</v>
      </c>
      <c r="G115" s="6" t="s">
        <v>78</v>
      </c>
      <c r="H115">
        <f t="shared" si="23"/>
        <v>1.9779961482632682</v>
      </c>
    </row>
    <row r="116" spans="1:8" ht="15" customHeight="1" x14ac:dyDescent="0.25">
      <c r="B116" s="7" t="s">
        <v>76</v>
      </c>
      <c r="C116">
        <f t="shared" si="22"/>
        <v>-0.24229178368052667</v>
      </c>
      <c r="D116">
        <f t="shared" si="22"/>
        <v>-1.0204813191896174</v>
      </c>
      <c r="E116">
        <f t="shared" si="22"/>
        <v>-1.4578535879473056</v>
      </c>
      <c r="G116" s="6" t="s">
        <v>78</v>
      </c>
      <c r="H116">
        <f t="shared" si="23"/>
        <v>1.7959466905075174</v>
      </c>
    </row>
    <row r="117" spans="1:8" ht="15" customHeight="1" x14ac:dyDescent="0.25">
      <c r="B117" s="7" t="s">
        <v>77</v>
      </c>
      <c r="C117">
        <f t="shared" si="22"/>
        <v>1.1574920191867721</v>
      </c>
      <c r="D117">
        <f t="shared" si="22"/>
        <v>-0.52844879666398659</v>
      </c>
      <c r="E117">
        <f t="shared" si="22"/>
        <v>-1.399813348404356</v>
      </c>
      <c r="G117" s="6" t="s">
        <v>78</v>
      </c>
      <c r="H117">
        <f t="shared" si="23"/>
        <v>1.8916985266018742</v>
      </c>
    </row>
    <row r="118" spans="1:8" ht="15" customHeight="1" x14ac:dyDescent="0.25">
      <c r="B118" s="7" t="s">
        <v>103</v>
      </c>
      <c r="C118">
        <f t="shared" si="22"/>
        <v>1.2545484638699604</v>
      </c>
      <c r="D118">
        <f t="shared" si="22"/>
        <v>-6.1424954161832135E-2</v>
      </c>
      <c r="E118">
        <f t="shared" si="22"/>
        <v>-0.65125753425312616</v>
      </c>
      <c r="G118" s="6" t="s">
        <v>78</v>
      </c>
      <c r="H118">
        <f t="shared" si="23"/>
        <v>1.4148502567811627</v>
      </c>
    </row>
    <row r="119" spans="1:8" ht="15" customHeight="1" x14ac:dyDescent="0.25">
      <c r="B119" s="7" t="s">
        <v>170</v>
      </c>
      <c r="C119">
        <f t="shared" ref="C119:E124" si="24">C99-C85</f>
        <v>0.24123076693285625</v>
      </c>
      <c r="D119">
        <f t="shared" si="24"/>
        <v>1.0204813191896178</v>
      </c>
      <c r="E119">
        <f t="shared" si="24"/>
        <v>1.4812725135668479</v>
      </c>
      <c r="G119" s="6" t="s">
        <v>78</v>
      </c>
      <c r="H119">
        <f t="shared" ref="H119:H124" si="25">SQRT(POWER(C119,2)+POWER(D119,2)+POWER(E119,2))</f>
        <v>1.8148671205293914</v>
      </c>
    </row>
    <row r="120" spans="1:8" ht="15" customHeight="1" x14ac:dyDescent="0.25">
      <c r="B120" s="7" t="s">
        <v>171</v>
      </c>
      <c r="C120">
        <f t="shared" si="24"/>
        <v>-1.1508007684071098</v>
      </c>
      <c r="D120">
        <f t="shared" si="24"/>
        <v>0.52206101373386571</v>
      </c>
      <c r="E120">
        <f t="shared" si="24"/>
        <v>1.3916578102719361</v>
      </c>
      <c r="G120" s="6" t="s">
        <v>78</v>
      </c>
      <c r="H120">
        <f t="shared" si="25"/>
        <v>1.8797876400056752</v>
      </c>
    </row>
    <row r="121" spans="1:8" ht="15" customHeight="1" x14ac:dyDescent="0.25">
      <c r="B121" s="7" t="s">
        <v>198</v>
      </c>
      <c r="C121">
        <f t="shared" si="24"/>
        <v>-1.2478572130902972</v>
      </c>
      <c r="D121">
        <f t="shared" si="24"/>
        <v>6.7812737091953845E-2</v>
      </c>
      <c r="E121">
        <f t="shared" si="24"/>
        <v>0.64310199612070651</v>
      </c>
      <c r="G121" s="6" t="s">
        <v>78</v>
      </c>
      <c r="H121">
        <f t="shared" si="25"/>
        <v>1.4054630443337253</v>
      </c>
    </row>
    <row r="122" spans="1:8" ht="15" customHeight="1" x14ac:dyDescent="0.25">
      <c r="B122" s="7" t="s">
        <v>199</v>
      </c>
      <c r="C122">
        <f t="shared" si="24"/>
        <v>4.7117877566480837E-2</v>
      </c>
      <c r="D122">
        <f t="shared" si="24"/>
        <v>-7.4733602307011093E-3</v>
      </c>
      <c r="E122">
        <f t="shared" si="24"/>
        <v>-1.5839114735611837E-2</v>
      </c>
      <c r="G122" s="6" t="s">
        <v>78</v>
      </c>
      <c r="H122">
        <f t="shared" si="25"/>
        <v>5.0267514908891003E-2</v>
      </c>
    </row>
    <row r="123" spans="1:8" ht="15" customHeight="1" x14ac:dyDescent="0.25">
      <c r="B123" s="7" t="s">
        <v>200</v>
      </c>
      <c r="C123">
        <f t="shared" si="24"/>
        <v>1.3774393098080757</v>
      </c>
      <c r="D123">
        <f t="shared" si="24"/>
        <v>0.43760566508692439</v>
      </c>
      <c r="E123">
        <f t="shared" si="24"/>
        <v>7.9876834970706717E-2</v>
      </c>
      <c r="G123" s="6" t="s">
        <v>78</v>
      </c>
      <c r="H123">
        <f t="shared" si="25"/>
        <v>1.4474868148227309</v>
      </c>
    </row>
    <row r="124" spans="1:8" ht="15" customHeight="1" x14ac:dyDescent="0.25">
      <c r="B124" s="7" t="s">
        <v>201</v>
      </c>
      <c r="C124">
        <f t="shared" si="24"/>
        <v>1.4744957544912638</v>
      </c>
      <c r="D124">
        <f t="shared" si="24"/>
        <v>0.99853650200508914</v>
      </c>
      <c r="E124">
        <f t="shared" si="24"/>
        <v>0.82843264912193648</v>
      </c>
      <c r="G124" s="6" t="s">
        <v>78</v>
      </c>
      <c r="H124">
        <f t="shared" si="25"/>
        <v>1.9640553785421913</v>
      </c>
    </row>
    <row r="127" spans="1:8" ht="15" customHeight="1" x14ac:dyDescent="0.25">
      <c r="A127" s="67" t="s">
        <v>162</v>
      </c>
      <c r="C127">
        <f>(C93^2)*(1-COS($I$30))+COS($I$30)</f>
        <v>-0.73389042124547366</v>
      </c>
      <c r="D127">
        <f>C93*D93*(1-COS($I$30))-E93*SIN($I$30)</f>
        <v>-0.65610955404793381</v>
      </c>
      <c r="E127">
        <f>C93*E93*(1-COS($I$30))+D93*SIN($I$30)</f>
        <v>-0.17585534592716451</v>
      </c>
    </row>
    <row r="128" spans="1:8" ht="15" customHeight="1" x14ac:dyDescent="0.25">
      <c r="A128" s="68"/>
      <c r="B128" t="s">
        <v>237</v>
      </c>
      <c r="C128">
        <f>D93*C93*(1-COS($I$30))+E93*SIN($I$30)</f>
        <v>-0.11898441580008284</v>
      </c>
      <c r="D128">
        <f>(D93^2)*(1-COS($I$30))+COS($I$30)</f>
        <v>0.37905650275858105</v>
      </c>
      <c r="E128">
        <f>D93*E93*(1-COS($I$30))-C93*SIN($I$30)</f>
        <v>-0.91769214691700751</v>
      </c>
    </row>
    <row r="129" spans="1:12" ht="15" customHeight="1" x14ac:dyDescent="0.25">
      <c r="C129">
        <f>E93*C93*(1-COS($I$30))-D93*SIN($I$30)</f>
        <v>0.66876569768556027</v>
      </c>
      <c r="D129">
        <f>D93*E93*(1-COS($I$30))+C93*SIN($I$30)</f>
        <v>-0.65256143067412065</v>
      </c>
      <c r="E129">
        <f>(E93^2)*(1-COS($I$30))+COS($I$30)</f>
        <v>-0.35625274847457744</v>
      </c>
    </row>
    <row r="130" spans="1:12" ht="15" customHeight="1" x14ac:dyDescent="0.25">
      <c r="J130" t="s">
        <v>87</v>
      </c>
      <c r="K130" t="s">
        <v>88</v>
      </c>
    </row>
    <row r="131" spans="1:12" ht="15" customHeight="1" x14ac:dyDescent="0.25">
      <c r="A131" s="19" t="s">
        <v>202</v>
      </c>
      <c r="B131" t="str">
        <f t="shared" ref="B131:B136" si="26">B93</f>
        <v>P1*</v>
      </c>
      <c r="C131">
        <f>C93*$C$127+D93*$D$127+E93*$E$127</f>
        <v>0.25605054490695095</v>
      </c>
      <c r="D131">
        <f>C93*$C$128+D93*$D$128+E93*$E$128</f>
        <v>-0.81569454313544787</v>
      </c>
      <c r="E131">
        <f>C93*$C$129+D93*$D$129+E93*$E$129</f>
        <v>0.51872972803947348</v>
      </c>
      <c r="G131" t="str">
        <f>G93</f>
        <v>length of vector P0*</v>
      </c>
      <c r="H131">
        <f>H93</f>
        <v>1</v>
      </c>
      <c r="J131">
        <f>ACOS((C131*C132+D131*D132+E131*E132)/(SQRT(C131^2+D131^2+E131^2)*SQRT(C132^2+D132^2+E132^2)))</f>
        <v>0.84018813916295632</v>
      </c>
      <c r="K131">
        <f t="shared" ref="K131:K136" si="27">DEGREES(J131)</f>
        <v>48.139234370987673</v>
      </c>
      <c r="L131" t="s">
        <v>80</v>
      </c>
    </row>
    <row r="132" spans="1:12" ht="15" customHeight="1" x14ac:dyDescent="0.25">
      <c r="B132" t="str">
        <f t="shared" si="26"/>
        <v>P2*</v>
      </c>
      <c r="C132">
        <f>C94*$C$127+D94*$D$127+E94*$E$127</f>
        <v>0.88949433567196801</v>
      </c>
      <c r="D132">
        <f>C94*$C$128+D94*$D$128+E94*$E$128</f>
        <v>-0.40785041685390389</v>
      </c>
      <c r="E132">
        <f>C94*$C$129+D94*$D$129+E94*$E$129</f>
        <v>0.20605306180588789</v>
      </c>
      <c r="G132" s="6" t="s">
        <v>67</v>
      </c>
      <c r="H132">
        <f>SQRT(POWER(C132,2)+POWER(D132,2)+POWER(E132,2))</f>
        <v>1</v>
      </c>
      <c r="J132">
        <f t="shared" ref="J132:J142" si="28">ACOS((C132*C133+D132*D133+E132*E133)/(SQRT(C132^2+D132^2+E132^2)*SQRT(C133^2+D133^2+E133^2)))</f>
        <v>0.84018813916295632</v>
      </c>
      <c r="K132">
        <f t="shared" si="27"/>
        <v>48.139234370987673</v>
      </c>
      <c r="L132" t="s">
        <v>81</v>
      </c>
    </row>
    <row r="133" spans="1:12" ht="15" customHeight="1" x14ac:dyDescent="0.25">
      <c r="B133" t="str">
        <f t="shared" si="26"/>
        <v>P3*</v>
      </c>
      <c r="C133">
        <f>C95*$C$127+D95*$D$127+E95*$E$127</f>
        <v>0.88949778955229464</v>
      </c>
      <c r="D133">
        <f>C95*$C$128+D95*$D$128+E95*$E$128</f>
        <v>0.40784227343740287</v>
      </c>
      <c r="E133">
        <f>C95*$C$129+D95*$D$129+E95*$E$129</f>
        <v>0.20605427047016611</v>
      </c>
      <c r="G133" s="6" t="s">
        <v>68</v>
      </c>
      <c r="H133">
        <f>SQRT(POWER(C133,2)+POWER(D133,2)+POWER(E133,2))</f>
        <v>1</v>
      </c>
      <c r="J133">
        <f t="shared" si="28"/>
        <v>0.84018813916295632</v>
      </c>
      <c r="K133">
        <f t="shared" si="27"/>
        <v>48.139234370987673</v>
      </c>
      <c r="L133" t="s">
        <v>89</v>
      </c>
    </row>
    <row r="134" spans="1:12" ht="15" customHeight="1" x14ac:dyDescent="0.25">
      <c r="B134" t="str">
        <f t="shared" si="26"/>
        <v>P4*</v>
      </c>
      <c r="C134">
        <f>C96*$C$127+D96*$D$127+E96*$E$127</f>
        <v>0.25605745266760427</v>
      </c>
      <c r="D134">
        <f>C96*$C$128+D96*$D$128+E96*$E$128</f>
        <v>0.81569083744716575</v>
      </c>
      <c r="E134">
        <f>C96*$C$129+D96*$D$129+E96*$E$129</f>
        <v>0.51873214536802981</v>
      </c>
      <c r="G134" s="6" t="s">
        <v>69</v>
      </c>
      <c r="H134">
        <f>SQRT(POWER(C134,2)+POWER(D134,2)+POWER(E134,2))</f>
        <v>0.99999999999999989</v>
      </c>
      <c r="J134">
        <f t="shared" si="28"/>
        <v>0.84018813916295632</v>
      </c>
      <c r="K134">
        <f>DEGREES(J134)</f>
        <v>48.139234370987673</v>
      </c>
      <c r="L134" t="s">
        <v>90</v>
      </c>
    </row>
    <row r="135" spans="1:12" ht="15" customHeight="1" x14ac:dyDescent="0.25">
      <c r="B135" t="str">
        <f t="shared" si="26"/>
        <v>P5*</v>
      </c>
      <c r="C135">
        <f>C97*$C$127+D97*$D$127+E97*$E$127</f>
        <v>-0.37738633809741295</v>
      </c>
      <c r="D135">
        <f>C97*$C$128+D97*$D$128+E97*$E$128</f>
        <v>0.40784671116562199</v>
      </c>
      <c r="E135">
        <f>C97*$C$129+D97*$D$129+E97*$E$129</f>
        <v>0.83140881160161562</v>
      </c>
      <c r="G135" s="6" t="s">
        <v>70</v>
      </c>
      <c r="H135">
        <f>SQRT(POWER(C135,2)+POWER(D135,2)+POWER(E135,2))</f>
        <v>1</v>
      </c>
      <c r="J135">
        <f t="shared" si="28"/>
        <v>0.84018813916295632</v>
      </c>
      <c r="K135">
        <f t="shared" si="27"/>
        <v>48.139234370987673</v>
      </c>
      <c r="L135" t="s">
        <v>91</v>
      </c>
    </row>
    <row r="136" spans="1:12" ht="15" customHeight="1" x14ac:dyDescent="0.25">
      <c r="B136" t="str">
        <f t="shared" si="26"/>
        <v>P6*</v>
      </c>
      <c r="C136">
        <f t="shared" ref="C136:C142" si="29">C98*$C$127+D98*$D$127+E98*$E$127</f>
        <v>-0.37738979197774009</v>
      </c>
      <c r="D136">
        <f t="shared" ref="D136:D142" si="30">C98*$C$128+D98*$D$128+E98*$E$128</f>
        <v>-0.40784597912568477</v>
      </c>
      <c r="E136">
        <f t="shared" ref="E136:E142" si="31">C98*$C$129+D98*$D$129+E98*$E$129</f>
        <v>0.8314076029373374</v>
      </c>
      <c r="F136" s="7"/>
      <c r="G136" s="7" t="str">
        <f t="shared" ref="G136:H142" si="32">G98</f>
        <v>length of vector P5*</v>
      </c>
      <c r="H136" s="7">
        <f t="shared" si="32"/>
        <v>1</v>
      </c>
      <c r="J136">
        <f t="shared" si="28"/>
        <v>1.5727644805534562</v>
      </c>
      <c r="K136">
        <f t="shared" si="27"/>
        <v>90.112766903798274</v>
      </c>
      <c r="L136" t="s">
        <v>92</v>
      </c>
    </row>
    <row r="137" spans="1:12" ht="15" customHeight="1" x14ac:dyDescent="0.25">
      <c r="B137" t="str">
        <f t="shared" ref="B137:B142" si="33">B99</f>
        <v>P7*</v>
      </c>
      <c r="C137">
        <f t="shared" si="29"/>
        <v>-0.25605745266760405</v>
      </c>
      <c r="D137">
        <f t="shared" si="30"/>
        <v>-0.81569083744716553</v>
      </c>
      <c r="E137">
        <f t="shared" si="31"/>
        <v>-0.51873214536803025</v>
      </c>
      <c r="F137" s="7"/>
      <c r="G137" s="7" t="str">
        <f t="shared" si="32"/>
        <v>length of vector P5*</v>
      </c>
      <c r="H137" s="7">
        <f t="shared" si="32"/>
        <v>1</v>
      </c>
      <c r="J137">
        <f t="shared" si="28"/>
        <v>0.84018813916295598</v>
      </c>
      <c r="K137">
        <f t="shared" ref="K137:K142" si="34">DEGREES(J137)</f>
        <v>48.139234370987651</v>
      </c>
    </row>
    <row r="138" spans="1:12" ht="15" customHeight="1" x14ac:dyDescent="0.25">
      <c r="B138" t="str">
        <f t="shared" si="33"/>
        <v>P8*</v>
      </c>
      <c r="C138">
        <f t="shared" si="29"/>
        <v>0.37738633809741284</v>
      </c>
      <c r="D138">
        <f t="shared" si="30"/>
        <v>-0.40784671116562154</v>
      </c>
      <c r="E138">
        <f t="shared" si="31"/>
        <v>-0.83140881160161584</v>
      </c>
      <c r="F138" s="7"/>
      <c r="G138" s="7" t="str">
        <f t="shared" si="32"/>
        <v>length of vector P5*</v>
      </c>
      <c r="H138" s="7">
        <f t="shared" si="32"/>
        <v>1</v>
      </c>
      <c r="J138">
        <f t="shared" si="28"/>
        <v>0.84018813916295587</v>
      </c>
      <c r="K138">
        <f t="shared" si="34"/>
        <v>48.139234370987644</v>
      </c>
    </row>
    <row r="139" spans="1:12" ht="15" customHeight="1" x14ac:dyDescent="0.25">
      <c r="B139" t="str">
        <f t="shared" si="33"/>
        <v>P9*</v>
      </c>
      <c r="C139">
        <f t="shared" si="29"/>
        <v>0.37738979197773959</v>
      </c>
      <c r="D139">
        <f t="shared" si="30"/>
        <v>0.40784597912568488</v>
      </c>
      <c r="E139">
        <f t="shared" si="31"/>
        <v>-0.83140760293733762</v>
      </c>
      <c r="F139" s="7"/>
      <c r="G139" s="7" t="str">
        <f t="shared" si="32"/>
        <v>length of vector P5*</v>
      </c>
      <c r="H139" s="7">
        <f t="shared" si="32"/>
        <v>1</v>
      </c>
      <c r="J139">
        <f t="shared" si="28"/>
        <v>0.84018813916295632</v>
      </c>
      <c r="K139">
        <f t="shared" si="34"/>
        <v>48.139234370987673</v>
      </c>
    </row>
    <row r="140" spans="1:12" ht="15" customHeight="1" x14ac:dyDescent="0.25">
      <c r="B140" t="str">
        <f t="shared" si="33"/>
        <v>P10*</v>
      </c>
      <c r="C140">
        <f t="shared" si="29"/>
        <v>-0.25605054490695067</v>
      </c>
      <c r="D140">
        <f t="shared" si="30"/>
        <v>0.81569454313544776</v>
      </c>
      <c r="E140">
        <f t="shared" si="31"/>
        <v>-0.51872972803947381</v>
      </c>
      <c r="F140" s="7"/>
      <c r="G140" s="7" t="str">
        <f t="shared" si="32"/>
        <v>length of vector P5*</v>
      </c>
      <c r="H140">
        <f t="shared" si="32"/>
        <v>1</v>
      </c>
      <c r="J140">
        <f t="shared" si="28"/>
        <v>0.84018813916295632</v>
      </c>
      <c r="K140">
        <f t="shared" si="34"/>
        <v>48.139234370987673</v>
      </c>
    </row>
    <row r="141" spans="1:12" ht="15" customHeight="1" x14ac:dyDescent="0.25">
      <c r="B141" t="str">
        <f t="shared" si="33"/>
        <v>P11*</v>
      </c>
      <c r="C141">
        <f t="shared" si="29"/>
        <v>-0.88949433567196778</v>
      </c>
      <c r="D141">
        <f t="shared" si="30"/>
        <v>0.40785041685390411</v>
      </c>
      <c r="E141">
        <f t="shared" si="31"/>
        <v>-0.20605306180588817</v>
      </c>
      <c r="F141" s="7"/>
      <c r="G141" s="7" t="str">
        <f t="shared" si="32"/>
        <v>length of vector P5*</v>
      </c>
      <c r="H141">
        <f t="shared" si="32"/>
        <v>0.99999999999999989</v>
      </c>
      <c r="J141">
        <f t="shared" si="28"/>
        <v>0.84018813916295598</v>
      </c>
      <c r="K141">
        <f t="shared" si="34"/>
        <v>48.139234370987651</v>
      </c>
    </row>
    <row r="142" spans="1:12" ht="15" customHeight="1" x14ac:dyDescent="0.25">
      <c r="B142" t="str">
        <f t="shared" si="33"/>
        <v>P12*</v>
      </c>
      <c r="C142">
        <f t="shared" si="29"/>
        <v>-0.88949778955229475</v>
      </c>
      <c r="D142">
        <f t="shared" si="30"/>
        <v>-0.40784227343740248</v>
      </c>
      <c r="E142">
        <f t="shared" si="31"/>
        <v>-0.20605427047016603</v>
      </c>
      <c r="F142" s="7"/>
      <c r="G142" s="7" t="str">
        <f t="shared" si="32"/>
        <v>length of vector P5*</v>
      </c>
      <c r="H142">
        <f t="shared" si="32"/>
        <v>0.99999999999999978</v>
      </c>
      <c r="J142" t="e">
        <f t="shared" si="28"/>
        <v>#DIV/0!</v>
      </c>
      <c r="K142" t="e">
        <f t="shared" si="34"/>
        <v>#DIV/0!</v>
      </c>
    </row>
    <row r="143" spans="1:12" ht="15" customHeight="1" x14ac:dyDescent="0.25">
      <c r="B143" s="7"/>
      <c r="C143" s="7"/>
      <c r="D143" s="7"/>
      <c r="E143" s="7"/>
      <c r="G143" s="6"/>
    </row>
    <row r="144" spans="1:12" ht="15" customHeight="1" x14ac:dyDescent="0.25">
      <c r="A144" s="12" t="s">
        <v>72</v>
      </c>
      <c r="B144" t="str">
        <f>B113</f>
        <v>P1*-P1</v>
      </c>
      <c r="C144">
        <f>C113</f>
        <v>-4.8178894314151288E-2</v>
      </c>
      <c r="D144">
        <f>D113</f>
        <v>7.4733602307011093E-3</v>
      </c>
      <c r="E144">
        <f>E113</f>
        <v>3.9258040355154344E-2</v>
      </c>
      <c r="G144" s="6" t="s">
        <v>78</v>
      </c>
      <c r="H144">
        <f t="shared" ref="H144:H149" si="35">SQRT(POWER(C144,2)+POWER(D144,2)+POWER(E144,2))</f>
        <v>6.2595932000401686E-2</v>
      </c>
    </row>
    <row r="145" spans="1:11" ht="15" customHeight="1" x14ac:dyDescent="0.25">
      <c r="B145" t="str">
        <f t="shared" ref="B145:B155" si="36">B114</f>
        <v>P2*-P2</v>
      </c>
      <c r="C145">
        <f>C132-C80</f>
        <v>-2.7112898688379294E-2</v>
      </c>
      <c r="D145">
        <f t="shared" ref="C145:E148" si="37">D132-D80</f>
        <v>3.3598066363294599E-2</v>
      </c>
      <c r="E145">
        <f t="shared" si="37"/>
        <v>-3.3538981615800739E-2</v>
      </c>
      <c r="G145" s="6" t="s">
        <v>78</v>
      </c>
      <c r="H145">
        <f t="shared" si="35"/>
        <v>5.4669942623563152E-2</v>
      </c>
    </row>
    <row r="146" spans="1:11" ht="15" customHeight="1" x14ac:dyDescent="0.25">
      <c r="B146" t="str">
        <f t="shared" si="36"/>
        <v>P3*-P3</v>
      </c>
      <c r="C146">
        <f t="shared" si="37"/>
        <v>-2.7109444808052663E-2</v>
      </c>
      <c r="D146">
        <f t="shared" si="37"/>
        <v>-3.3606209779795726E-2</v>
      </c>
      <c r="E146">
        <f t="shared" si="37"/>
        <v>-3.3537772951522521E-2</v>
      </c>
      <c r="G146" s="6" t="s">
        <v>78</v>
      </c>
      <c r="H146">
        <f t="shared" si="35"/>
        <v>5.4672493523822079E-2</v>
      </c>
    </row>
    <row r="147" spans="1:11" ht="15" customHeight="1" x14ac:dyDescent="0.25">
      <c r="B147" t="str">
        <f t="shared" si="36"/>
        <v>P4*-P4</v>
      </c>
      <c r="C147">
        <f t="shared" si="37"/>
        <v>-4.817198655349797E-2</v>
      </c>
      <c r="D147">
        <f t="shared" si="37"/>
        <v>-7.4770659189833388E-3</v>
      </c>
      <c r="E147">
        <f t="shared" si="37"/>
        <v>3.9260457683710559E-2</v>
      </c>
      <c r="G147" s="6" t="s">
        <v>78</v>
      </c>
      <c r="H147">
        <f t="shared" si="35"/>
        <v>6.2592574166602535E-2</v>
      </c>
    </row>
    <row r="148" spans="1:11" ht="15" customHeight="1" x14ac:dyDescent="0.25">
      <c r="B148" t="str">
        <f t="shared" si="36"/>
        <v>P5*-P5</v>
      </c>
      <c r="C148">
        <f t="shared" si="37"/>
        <v>-4.344828837888226E-3</v>
      </c>
      <c r="D148">
        <f t="shared" si="37"/>
        <v>1.973950808654984E-2</v>
      </c>
      <c r="E148">
        <f t="shared" si="37"/>
        <v>3.5699456384631234E-2</v>
      </c>
      <c r="G148" s="6" t="s">
        <v>78</v>
      </c>
      <c r="H148">
        <f t="shared" si="35"/>
        <v>4.1024101492753005E-2</v>
      </c>
    </row>
    <row r="149" spans="1:11" ht="15" customHeight="1" x14ac:dyDescent="0.25">
      <c r="B149" t="str">
        <f t="shared" si="36"/>
        <v>P6*-P6</v>
      </c>
      <c r="C149">
        <f t="shared" ref="C149:E155" si="38">C136-C84</f>
        <v>-4.3482827182153572E-3</v>
      </c>
      <c r="D149">
        <f t="shared" si="38"/>
        <v>-1.9738776046612783E-2</v>
      </c>
      <c r="E149">
        <f t="shared" si="38"/>
        <v>3.5698247720353016E-2</v>
      </c>
      <c r="G149" s="6" t="s">
        <v>78</v>
      </c>
      <c r="H149">
        <f t="shared" si="35"/>
        <v>4.1023063424365985E-2</v>
      </c>
    </row>
    <row r="150" spans="1:11" ht="15" customHeight="1" x14ac:dyDescent="0.25">
      <c r="B150" t="str">
        <f t="shared" si="36"/>
        <v>P7*-P7</v>
      </c>
      <c r="C150">
        <f t="shared" si="38"/>
        <v>4.711096980582824E-2</v>
      </c>
      <c r="D150">
        <f t="shared" si="38"/>
        <v>7.4770659189837829E-3</v>
      </c>
      <c r="E150">
        <f t="shared" si="38"/>
        <v>-1.5841532064168606E-2</v>
      </c>
      <c r="G150" s="6" t="s">
        <v>78</v>
      </c>
      <c r="H150">
        <f t="shared" ref="H150:H155" si="39">SQRT(POWER(C150,2)+POWER(D150,2)+POWER(E150,2))</f>
        <v>5.0262352998467659E-2</v>
      </c>
    </row>
    <row r="151" spans="1:11" ht="15" customHeight="1" x14ac:dyDescent="0.25">
      <c r="B151" t="str">
        <f t="shared" si="36"/>
        <v>P8*-P8</v>
      </c>
      <c r="C151">
        <f t="shared" si="38"/>
        <v>1.103607961755082E-2</v>
      </c>
      <c r="D151">
        <f t="shared" si="38"/>
        <v>-2.6127291016670773E-2</v>
      </c>
      <c r="E151">
        <f t="shared" si="38"/>
        <v>-4.3854994517051105E-2</v>
      </c>
      <c r="G151" s="6" t="s">
        <v>78</v>
      </c>
      <c r="H151">
        <f t="shared" si="39"/>
        <v>5.2227300650955613E-2</v>
      </c>
    </row>
    <row r="152" spans="1:11" ht="15" customHeight="1" x14ac:dyDescent="0.25">
      <c r="B152" t="str">
        <f t="shared" si="36"/>
        <v>P9*-P9</v>
      </c>
      <c r="C152">
        <f t="shared" si="38"/>
        <v>1.1039533497877563E-2</v>
      </c>
      <c r="D152">
        <f t="shared" si="38"/>
        <v>2.612655897673416E-2</v>
      </c>
      <c r="E152">
        <f t="shared" si="38"/>
        <v>-4.3853785852772886E-2</v>
      </c>
      <c r="G152" s="6" t="s">
        <v>78</v>
      </c>
      <c r="H152">
        <f t="shared" si="39"/>
        <v>5.2226649494643944E-2</v>
      </c>
    </row>
    <row r="153" spans="1:11" ht="15" customHeight="1" x14ac:dyDescent="0.25">
      <c r="B153" t="str">
        <f t="shared" si="36"/>
        <v>P10*-P10</v>
      </c>
      <c r="C153">
        <f t="shared" si="38"/>
        <v>4.7117877566481503E-2</v>
      </c>
      <c r="D153">
        <f t="shared" si="38"/>
        <v>-7.4733602307013314E-3</v>
      </c>
      <c r="E153">
        <f t="shared" si="38"/>
        <v>-1.583911473561217E-2</v>
      </c>
      <c r="G153" s="6" t="s">
        <v>78</v>
      </c>
      <c r="H153">
        <f t="shared" si="39"/>
        <v>5.026751490889176E-2</v>
      </c>
    </row>
    <row r="154" spans="1:11" ht="15" customHeight="1" x14ac:dyDescent="0.25">
      <c r="B154" t="str">
        <f t="shared" si="36"/>
        <v>P11*-P11</v>
      </c>
      <c r="C154">
        <f t="shared" si="38"/>
        <v>2.1482664656387485E-2</v>
      </c>
      <c r="D154">
        <f t="shared" si="38"/>
        <v>-2.7210283433173166E-2</v>
      </c>
      <c r="E154">
        <f t="shared" si="38"/>
        <v>1.8275594128677519E-2</v>
      </c>
      <c r="G154" s="6" t="s">
        <v>78</v>
      </c>
      <c r="H154">
        <f t="shared" si="39"/>
        <v>3.9190582363733385E-2</v>
      </c>
    </row>
    <row r="155" spans="1:11" ht="15" customHeight="1" x14ac:dyDescent="0.25">
      <c r="B155" t="str">
        <f t="shared" si="36"/>
        <v>P12*-P12</v>
      </c>
      <c r="C155">
        <f t="shared" si="38"/>
        <v>2.147921077606052E-2</v>
      </c>
      <c r="D155">
        <f t="shared" si="38"/>
        <v>2.7218426849674737E-2</v>
      </c>
      <c r="E155">
        <f t="shared" si="38"/>
        <v>1.8274385464399662E-2</v>
      </c>
      <c r="G155" s="6" t="s">
        <v>78</v>
      </c>
      <c r="H155">
        <f t="shared" si="39"/>
        <v>3.9193780371826734E-2</v>
      </c>
    </row>
    <row r="156" spans="1:11" ht="15" customHeight="1" x14ac:dyDescent="0.25">
      <c r="B156" s="7"/>
      <c r="G156" s="6"/>
    </row>
    <row r="157" spans="1:11" ht="15" customHeight="1" x14ac:dyDescent="0.25">
      <c r="A157" s="19" t="s">
        <v>337</v>
      </c>
      <c r="B157" s="7" t="s">
        <v>204</v>
      </c>
      <c r="C157">
        <v>0</v>
      </c>
      <c r="D157">
        <v>0</v>
      </c>
      <c r="E157">
        <v>0</v>
      </c>
    </row>
    <row r="158" spans="1:11" ht="15" customHeight="1" x14ac:dyDescent="0.25">
      <c r="B158" t="str">
        <f t="shared" ref="B158:B163" si="40">B131</f>
        <v>P1*</v>
      </c>
      <c r="C158">
        <f t="shared" ref="C158:E163" si="41">C131*$K$66</f>
        <v>87.160739497957422</v>
      </c>
      <c r="D158">
        <f t="shared" si="41"/>
        <v>-277.66603507901425</v>
      </c>
      <c r="E158">
        <f t="shared" si="41"/>
        <v>176.57789680520011</v>
      </c>
      <c r="F158" t="s">
        <v>372</v>
      </c>
      <c r="G158">
        <f>C158-C159</f>
        <v>-215.62707180932648</v>
      </c>
      <c r="H158">
        <f>D158-D159</f>
        <v>-138.83194687016143</v>
      </c>
      <c r="I158">
        <f>E158-E159</f>
        <v>106.4365219866224</v>
      </c>
      <c r="J158" s="57" t="s">
        <v>67</v>
      </c>
      <c r="K158">
        <f>SQRT(POWER(G158,2)+POWER(H158,2)+POWER(I158,2))</f>
        <v>277.6654043654566</v>
      </c>
    </row>
    <row r="159" spans="1:11" ht="15" customHeight="1" x14ac:dyDescent="0.25">
      <c r="B159" t="str">
        <f t="shared" si="40"/>
        <v>P2*</v>
      </c>
      <c r="C159">
        <f>C132*$K$66</f>
        <v>302.7878113072839</v>
      </c>
      <c r="D159">
        <f t="shared" si="41"/>
        <v>-138.83408820885282</v>
      </c>
      <c r="E159">
        <f t="shared" si="41"/>
        <v>70.141374818577717</v>
      </c>
      <c r="F159" t="s">
        <v>381</v>
      </c>
      <c r="G159">
        <f>C158-C164</f>
        <v>174.32383042823466</v>
      </c>
      <c r="H159">
        <f>D158-D164</f>
        <v>-1.2614327032451911E-3</v>
      </c>
      <c r="I159">
        <f>E158-E164</f>
        <v>353.15661647974696</v>
      </c>
      <c r="J159" s="57" t="s">
        <v>67</v>
      </c>
      <c r="K159">
        <f>SQRT(POWER(G159,2)+POWER(H159,2)+POWER(I159,2))</f>
        <v>393.83802967741218</v>
      </c>
    </row>
    <row r="160" spans="1:11" ht="15" customHeight="1" x14ac:dyDescent="0.25">
      <c r="B160" t="str">
        <f t="shared" si="40"/>
        <v>P3*</v>
      </c>
      <c r="C160">
        <f t="shared" si="41"/>
        <v>302.78898702344384</v>
      </c>
      <c r="D160">
        <f t="shared" si="41"/>
        <v>138.83131615380984</v>
      </c>
      <c r="E160">
        <f t="shared" si="41"/>
        <v>70.141786253251027</v>
      </c>
    </row>
    <row r="161" spans="1:5" ht="15" customHeight="1" x14ac:dyDescent="0.25">
      <c r="B161" t="str">
        <f t="shared" si="40"/>
        <v>P4*</v>
      </c>
      <c r="C161">
        <f t="shared" si="41"/>
        <v>87.163090930277306</v>
      </c>
      <c r="D161">
        <f t="shared" si="41"/>
        <v>277.66477364631106</v>
      </c>
      <c r="E161">
        <f t="shared" si="41"/>
        <v>176.5787196745467</v>
      </c>
    </row>
    <row r="162" spans="1:5" ht="15" customHeight="1" x14ac:dyDescent="0.25">
      <c r="B162" t="str">
        <f t="shared" si="40"/>
        <v>P5*</v>
      </c>
      <c r="C162">
        <f t="shared" si="41"/>
        <v>-128.46398087904927</v>
      </c>
      <c r="D162">
        <f t="shared" si="41"/>
        <v>138.83282677614969</v>
      </c>
      <c r="E162">
        <f t="shared" si="41"/>
        <v>283.01524166116917</v>
      </c>
    </row>
    <row r="163" spans="1:5" ht="15" customHeight="1" x14ac:dyDescent="0.25">
      <c r="B163" t="str">
        <f t="shared" si="40"/>
        <v>P6*</v>
      </c>
      <c r="C163">
        <f t="shared" si="41"/>
        <v>-128.46515659520938</v>
      </c>
      <c r="D163">
        <f t="shared" si="41"/>
        <v>-138.83257758651297</v>
      </c>
      <c r="E163">
        <f t="shared" si="41"/>
        <v>283.01483022649586</v>
      </c>
    </row>
    <row r="164" spans="1:5" ht="15" customHeight="1" x14ac:dyDescent="0.25">
      <c r="B164" t="str">
        <f t="shared" ref="B164:B169" si="42">B137</f>
        <v>P7*</v>
      </c>
      <c r="C164">
        <f t="shared" ref="C164:E169" si="43">C137*$K$66</f>
        <v>-87.163090930277221</v>
      </c>
      <c r="D164">
        <f t="shared" si="43"/>
        <v>-277.664773646311</v>
      </c>
      <c r="E164">
        <f t="shared" si="43"/>
        <v>-176.57871967454685</v>
      </c>
    </row>
    <row r="165" spans="1:5" ht="15" customHeight="1" x14ac:dyDescent="0.25">
      <c r="B165" t="str">
        <f t="shared" si="42"/>
        <v>P8*</v>
      </c>
      <c r="C165">
        <f t="shared" si="43"/>
        <v>128.46398087904922</v>
      </c>
      <c r="D165">
        <f t="shared" si="43"/>
        <v>-138.83282677614955</v>
      </c>
      <c r="E165">
        <f t="shared" si="43"/>
        <v>-283.01524166116923</v>
      </c>
    </row>
    <row r="166" spans="1:5" ht="15" customHeight="1" x14ac:dyDescent="0.25">
      <c r="B166" t="str">
        <f t="shared" si="42"/>
        <v>P9*</v>
      </c>
      <c r="C166">
        <f t="shared" si="43"/>
        <v>128.46515659520921</v>
      </c>
      <c r="D166">
        <f t="shared" si="43"/>
        <v>138.832577586513</v>
      </c>
      <c r="E166">
        <f t="shared" si="43"/>
        <v>-283.01483022649592</v>
      </c>
    </row>
    <row r="167" spans="1:5" ht="15" customHeight="1" x14ac:dyDescent="0.25">
      <c r="B167" t="str">
        <f t="shared" si="42"/>
        <v>P10*</v>
      </c>
      <c r="C167">
        <f t="shared" si="43"/>
        <v>-87.160739497957323</v>
      </c>
      <c r="D167">
        <f t="shared" si="43"/>
        <v>277.66603507901425</v>
      </c>
      <c r="E167">
        <f t="shared" si="43"/>
        <v>-176.57789680520023</v>
      </c>
    </row>
    <row r="168" spans="1:5" ht="15" customHeight="1" x14ac:dyDescent="0.25">
      <c r="B168" t="str">
        <f t="shared" si="42"/>
        <v>P11*</v>
      </c>
      <c r="C168">
        <f t="shared" si="43"/>
        <v>-302.78781130728385</v>
      </c>
      <c r="D168">
        <f t="shared" si="43"/>
        <v>138.8340882088529</v>
      </c>
      <c r="E168">
        <f t="shared" si="43"/>
        <v>-70.141374818577816</v>
      </c>
    </row>
    <row r="169" spans="1:5" ht="15" customHeight="1" x14ac:dyDescent="0.25">
      <c r="B169" t="str">
        <f t="shared" si="42"/>
        <v>P12*</v>
      </c>
      <c r="C169">
        <f t="shared" si="43"/>
        <v>-302.78898702344389</v>
      </c>
      <c r="D169">
        <f t="shared" si="43"/>
        <v>-138.83131615380969</v>
      </c>
      <c r="E169">
        <f t="shared" si="43"/>
        <v>-70.141786253250999</v>
      </c>
    </row>
    <row r="171" spans="1:5" ht="15" customHeight="1" x14ac:dyDescent="0.25">
      <c r="A171" s="19" t="s">
        <v>338</v>
      </c>
      <c r="B171" t="s">
        <v>204</v>
      </c>
      <c r="C171">
        <f>C157+$C$62</f>
        <v>218.54279370000003</v>
      </c>
      <c r="D171">
        <f>D157+$D$62</f>
        <v>140.10499999999999</v>
      </c>
      <c r="E171">
        <f>E157+$E$62</f>
        <v>252.39473969999997</v>
      </c>
    </row>
    <row r="172" spans="1:5" ht="15" customHeight="1" x14ac:dyDescent="0.25">
      <c r="B172" t="str">
        <f t="shared" ref="B172:B183" si="44">B158</f>
        <v>P1*</v>
      </c>
      <c r="C172">
        <f t="shared" ref="C172:C183" si="45">C158+$C$62</f>
        <v>305.70353319795743</v>
      </c>
      <c r="D172">
        <f t="shared" ref="D172:D183" si="46">D158+$D$62</f>
        <v>-137.56103507901426</v>
      </c>
      <c r="E172">
        <f t="shared" ref="E172:E183" si="47">E158+$E$62</f>
        <v>428.97263650520006</v>
      </c>
    </row>
    <row r="173" spans="1:5" ht="15" customHeight="1" x14ac:dyDescent="0.25">
      <c r="B173" t="str">
        <f t="shared" si="44"/>
        <v>P2*</v>
      </c>
      <c r="C173">
        <f t="shared" si="45"/>
        <v>521.33060500728391</v>
      </c>
      <c r="D173">
        <f t="shared" si="46"/>
        <v>1.2709117911471708</v>
      </c>
      <c r="E173">
        <f t="shared" si="47"/>
        <v>322.53611451857768</v>
      </c>
    </row>
    <row r="174" spans="1:5" ht="15" customHeight="1" x14ac:dyDescent="0.25">
      <c r="B174" t="str">
        <f t="shared" si="44"/>
        <v>P3*</v>
      </c>
      <c r="C174">
        <f t="shared" si="45"/>
        <v>521.3317807234439</v>
      </c>
      <c r="D174">
        <f t="shared" si="46"/>
        <v>278.9363161538098</v>
      </c>
      <c r="E174">
        <f t="shared" si="47"/>
        <v>322.53652595325099</v>
      </c>
    </row>
    <row r="175" spans="1:5" ht="15" customHeight="1" x14ac:dyDescent="0.25">
      <c r="B175" t="str">
        <f t="shared" si="44"/>
        <v>P4*</v>
      </c>
      <c r="C175">
        <f t="shared" si="45"/>
        <v>305.70588463027735</v>
      </c>
      <c r="D175">
        <f t="shared" si="46"/>
        <v>417.76977364631102</v>
      </c>
      <c r="E175">
        <f t="shared" si="47"/>
        <v>428.97345937454668</v>
      </c>
    </row>
    <row r="176" spans="1:5" ht="15" customHeight="1" x14ac:dyDescent="0.25">
      <c r="B176" t="str">
        <f t="shared" si="44"/>
        <v>P5*</v>
      </c>
      <c r="C176">
        <f t="shared" si="45"/>
        <v>90.078812820950759</v>
      </c>
      <c r="D176">
        <f t="shared" si="46"/>
        <v>278.93782677614968</v>
      </c>
      <c r="E176">
        <f t="shared" si="47"/>
        <v>535.40998136116912</v>
      </c>
    </row>
    <row r="177" spans="2:5" ht="15" customHeight="1" x14ac:dyDescent="0.25">
      <c r="B177" t="str">
        <f t="shared" si="44"/>
        <v>P6*</v>
      </c>
      <c r="C177">
        <f t="shared" si="45"/>
        <v>90.077637104790654</v>
      </c>
      <c r="D177">
        <f t="shared" si="46"/>
        <v>1.2724224134870212</v>
      </c>
      <c r="E177">
        <f t="shared" si="47"/>
        <v>535.40956992649581</v>
      </c>
    </row>
    <row r="178" spans="2:5" ht="15" customHeight="1" x14ac:dyDescent="0.25">
      <c r="B178" t="str">
        <f t="shared" si="44"/>
        <v>P7*</v>
      </c>
      <c r="C178">
        <f t="shared" si="45"/>
        <v>131.37970276972283</v>
      </c>
      <c r="D178">
        <f t="shared" si="46"/>
        <v>-137.55977364631102</v>
      </c>
      <c r="E178">
        <f t="shared" si="47"/>
        <v>75.816020025453128</v>
      </c>
    </row>
    <row r="179" spans="2:5" ht="15" customHeight="1" x14ac:dyDescent="0.25">
      <c r="B179" t="str">
        <f t="shared" si="44"/>
        <v>P8*</v>
      </c>
      <c r="C179">
        <f t="shared" si="45"/>
        <v>347.00677457904925</v>
      </c>
      <c r="D179">
        <f>D165+$D$62</f>
        <v>1.2721732238504444</v>
      </c>
      <c r="E179">
        <f t="shared" si="47"/>
        <v>-30.620501961169253</v>
      </c>
    </row>
    <row r="180" spans="2:5" ht="15" customHeight="1" x14ac:dyDescent="0.25">
      <c r="B180" t="str">
        <f t="shared" si="44"/>
        <v>P9*</v>
      </c>
      <c r="C180">
        <f t="shared" si="45"/>
        <v>347.00795029520924</v>
      </c>
      <c r="D180">
        <f t="shared" si="46"/>
        <v>278.93757758651299</v>
      </c>
      <c r="E180">
        <f t="shared" si="47"/>
        <v>-30.620090526495943</v>
      </c>
    </row>
    <row r="181" spans="2:5" ht="15" customHeight="1" x14ac:dyDescent="0.25">
      <c r="B181" t="str">
        <f t="shared" si="44"/>
        <v>P10*</v>
      </c>
      <c r="C181">
        <f t="shared" si="45"/>
        <v>131.3820542020427</v>
      </c>
      <c r="D181">
        <f t="shared" si="46"/>
        <v>417.77103507901427</v>
      </c>
      <c r="E181">
        <f t="shared" si="47"/>
        <v>75.816842894799748</v>
      </c>
    </row>
    <row r="182" spans="2:5" ht="15" customHeight="1" x14ac:dyDescent="0.25">
      <c r="B182" t="str">
        <f t="shared" si="44"/>
        <v>P11*</v>
      </c>
      <c r="C182">
        <f t="shared" si="45"/>
        <v>-84.245017607283813</v>
      </c>
      <c r="D182">
        <f t="shared" si="46"/>
        <v>278.93908820885292</v>
      </c>
      <c r="E182">
        <f t="shared" si="47"/>
        <v>182.25336488142216</v>
      </c>
    </row>
    <row r="183" spans="2:5" ht="15" customHeight="1" x14ac:dyDescent="0.25">
      <c r="B183" t="str">
        <f t="shared" si="44"/>
        <v>P12*</v>
      </c>
      <c r="C183">
        <f t="shared" si="45"/>
        <v>-84.246193323443862</v>
      </c>
      <c r="D183">
        <f t="shared" si="46"/>
        <v>1.2736838461902948</v>
      </c>
      <c r="E183">
        <f t="shared" si="47"/>
        <v>182.25295344674896</v>
      </c>
    </row>
  </sheetData>
  <mergeCells count="22">
    <mergeCell ref="B2:D2"/>
    <mergeCell ref="F3:G5"/>
    <mergeCell ref="E44:F44"/>
    <mergeCell ref="E45:F45"/>
    <mergeCell ref="E8:H8"/>
    <mergeCell ref="B8:D8"/>
    <mergeCell ref="E41:F42"/>
    <mergeCell ref="H42:J46"/>
    <mergeCell ref="E46:F46"/>
    <mergeCell ref="D25:F25"/>
    <mergeCell ref="H25:J26"/>
    <mergeCell ref="D29:F29"/>
    <mergeCell ref="D33:F33"/>
    <mergeCell ref="G34:H34"/>
    <mergeCell ref="D37:F37"/>
    <mergeCell ref="G48:H48"/>
    <mergeCell ref="A45:C46"/>
    <mergeCell ref="A109:A110"/>
    <mergeCell ref="A127:A128"/>
    <mergeCell ref="A106:A107"/>
    <mergeCell ref="A48:A49"/>
    <mergeCell ref="G52:H52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2"/>
  <sheetViews>
    <sheetView topLeftCell="B1" workbookViewId="0">
      <selection activeCell="J51" sqref="J51"/>
    </sheetView>
  </sheetViews>
  <sheetFormatPr baseColWidth="10" defaultRowHeight="15" x14ac:dyDescent="0.25"/>
  <cols>
    <col min="1" max="1" width="26.7109375" customWidth="1"/>
    <col min="2" max="12" width="13.7109375" customWidth="1"/>
    <col min="13" max="13" width="12" bestFit="1" customWidth="1"/>
  </cols>
  <sheetData>
    <row r="1" spans="1:15" x14ac:dyDescent="0.25">
      <c r="A1" t="s">
        <v>0</v>
      </c>
    </row>
    <row r="2" spans="1:15" x14ac:dyDescent="0.25">
      <c r="A2" s="29"/>
      <c r="B2" s="69" t="s">
        <v>134</v>
      </c>
      <c r="C2" s="70"/>
      <c r="D2" s="70"/>
    </row>
    <row r="3" spans="1:15" x14ac:dyDescent="0.25">
      <c r="A3" t="s">
        <v>1</v>
      </c>
      <c r="F3" s="75" t="s">
        <v>315</v>
      </c>
      <c r="G3" s="76"/>
    </row>
    <row r="4" spans="1:15" x14ac:dyDescent="0.25">
      <c r="A4" t="s">
        <v>2</v>
      </c>
      <c r="B4" s="1">
        <v>320</v>
      </c>
      <c r="C4" s="43" t="s">
        <v>51</v>
      </c>
      <c r="D4" s="1">
        <v>90</v>
      </c>
      <c r="F4" s="76"/>
      <c r="G4" s="76"/>
    </row>
    <row r="5" spans="1:15" x14ac:dyDescent="0.25">
      <c r="A5" t="s">
        <v>3</v>
      </c>
      <c r="B5" s="1">
        <v>320</v>
      </c>
      <c r="C5" s="43" t="s">
        <v>52</v>
      </c>
      <c r="D5" s="1">
        <v>90</v>
      </c>
      <c r="F5" s="76"/>
      <c r="G5" s="76"/>
      <c r="M5" s="6"/>
      <c r="N5" s="6"/>
    </row>
    <row r="6" spans="1:15" x14ac:dyDescent="0.25">
      <c r="A6" t="s">
        <v>4</v>
      </c>
      <c r="B6" s="1">
        <v>320</v>
      </c>
      <c r="C6" s="43" t="s">
        <v>53</v>
      </c>
      <c r="D6" s="1">
        <v>90</v>
      </c>
      <c r="N6" s="4"/>
      <c r="O6" s="4"/>
    </row>
    <row r="7" spans="1:15" x14ac:dyDescent="0.25">
      <c r="N7" s="4"/>
      <c r="O7" s="4"/>
    </row>
    <row r="8" spans="1:15" x14ac:dyDescent="0.25">
      <c r="B8" s="78" t="s">
        <v>273</v>
      </c>
      <c r="C8" s="78"/>
      <c r="D8" s="78"/>
      <c r="E8" s="77" t="s">
        <v>239</v>
      </c>
      <c r="F8" s="77"/>
      <c r="G8" s="77"/>
      <c r="H8" s="77"/>
    </row>
    <row r="9" spans="1:15" x14ac:dyDescent="0.25">
      <c r="A9" t="s">
        <v>5</v>
      </c>
      <c r="B9" s="44" t="s">
        <v>6</v>
      </c>
      <c r="C9" s="44" t="s">
        <v>7</v>
      </c>
      <c r="D9" s="44" t="s">
        <v>8</v>
      </c>
      <c r="E9" s="39"/>
      <c r="F9" s="39" t="s">
        <v>6</v>
      </c>
      <c r="G9" s="39" t="s">
        <v>7</v>
      </c>
      <c r="H9" s="39" t="s">
        <v>8</v>
      </c>
    </row>
    <row r="10" spans="1:15" x14ac:dyDescent="0.25">
      <c r="A10" t="s">
        <v>96</v>
      </c>
      <c r="B10" s="1">
        <v>0.5</v>
      </c>
      <c r="C10" s="1">
        <v>0.5</v>
      </c>
      <c r="D10" s="1">
        <v>0.5</v>
      </c>
      <c r="E10" s="45" t="s">
        <v>204</v>
      </c>
      <c r="F10" s="12">
        <f>C88*$G$37+D88*$H$37+E88*$I$37</f>
        <v>0.48999999999999994</v>
      </c>
      <c r="G10" s="12">
        <f>C88*$G$38+D88*$H$38+E88*$I$38</f>
        <v>0.498</v>
      </c>
      <c r="H10" s="12">
        <f>C88*$G$39+D88*$H$39+E88*$I$39</f>
        <v>0.48750000000000004</v>
      </c>
    </row>
    <row r="11" spans="1:15" x14ac:dyDescent="0.25">
      <c r="A11" t="s">
        <v>9</v>
      </c>
      <c r="B11" s="1">
        <v>1</v>
      </c>
      <c r="C11" s="1">
        <v>0.99</v>
      </c>
      <c r="D11" s="1">
        <v>-0.03</v>
      </c>
      <c r="E11" s="15" t="s">
        <v>58</v>
      </c>
      <c r="F11" s="28">
        <f>C89*$G$37+D89*$H$37+E89*$I$37</f>
        <v>0.97761637276670788</v>
      </c>
      <c r="G11" s="28">
        <f>C89*$G$38+D89*$H$38+E89*$I$38</f>
        <v>0.98988391097023865</v>
      </c>
      <c r="H11" s="28">
        <f>C89*$G$39+D89*$H$39+E89*$I$39</f>
        <v>7.0880973999527088E-3</v>
      </c>
    </row>
    <row r="12" spans="1:15" x14ac:dyDescent="0.25">
      <c r="A12" t="s">
        <v>10</v>
      </c>
      <c r="B12" s="1">
        <v>0.95</v>
      </c>
      <c r="C12" s="1">
        <v>0.01</v>
      </c>
      <c r="D12" s="1">
        <v>0.96</v>
      </c>
      <c r="E12" s="15" t="s">
        <v>59</v>
      </c>
      <c r="F12" s="28">
        <f>C90*$G$37+D90*$H$37+E90*$I$37</f>
        <v>0.97569436954266731</v>
      </c>
      <c r="G12" s="28">
        <f>C90*$G$38+D90*$H$38+E90*$I$38</f>
        <v>8.1059776095621615E-3</v>
      </c>
      <c r="H12" s="28">
        <f>C90*$G$39+D90*$H$39+E90*$I$39</f>
        <v>0.97187581612009066</v>
      </c>
    </row>
    <row r="13" spans="1:15" x14ac:dyDescent="0.25">
      <c r="A13" t="s">
        <v>11</v>
      </c>
      <c r="B13" s="10">
        <v>0.03</v>
      </c>
      <c r="C13" s="1">
        <v>2.1999999999999999E-2</v>
      </c>
      <c r="D13" s="1">
        <v>0.02</v>
      </c>
      <c r="E13" s="15" t="s">
        <v>60</v>
      </c>
      <c r="F13" s="28">
        <f>C91*$G$37+D91*$H$37+E91*$I$37</f>
        <v>6.3300282120469118E-3</v>
      </c>
      <c r="G13" s="28">
        <f>C91*$G$38+D91*$H$38+E91*$I$38</f>
        <v>1.4612291207852391E-2</v>
      </c>
      <c r="H13" s="28">
        <f>C91*$G$39+D91*$H$39+E91*$I$39</f>
        <v>-5.3638619341594314E-3</v>
      </c>
    </row>
    <row r="14" spans="1:15" x14ac:dyDescent="0.25">
      <c r="A14" t="s">
        <v>12</v>
      </c>
      <c r="B14" s="1">
        <v>-0.02</v>
      </c>
      <c r="C14" s="1">
        <v>0.97</v>
      </c>
      <c r="D14" s="1">
        <v>1</v>
      </c>
      <c r="E14" s="15" t="s">
        <v>61</v>
      </c>
      <c r="F14" s="28">
        <f>C92*$G$37+D92*$H$37+E92*$I$37</f>
        <v>3.5922947857797383E-4</v>
      </c>
      <c r="G14" s="28">
        <f>C92*$G$38+D92*$H$38+E92*$I$38</f>
        <v>0.97939782021234689</v>
      </c>
      <c r="H14" s="28">
        <f>C92*$G$39+D92*$H$39+E92*$I$39</f>
        <v>0.97639994841411581</v>
      </c>
    </row>
    <row r="15" spans="1:15" x14ac:dyDescent="0.25">
      <c r="G15" s="2"/>
    </row>
    <row r="17" spans="1:15" ht="15" customHeight="1" x14ac:dyDescent="0.25">
      <c r="A17" t="s">
        <v>57</v>
      </c>
      <c r="B17" t="s">
        <v>17</v>
      </c>
      <c r="D17" s="61" t="s">
        <v>18</v>
      </c>
      <c r="E17" s="61"/>
      <c r="F17" s="61"/>
      <c r="H17" s="61" t="s">
        <v>276</v>
      </c>
      <c r="I17" s="61"/>
      <c r="J17" s="61"/>
      <c r="K17" s="4"/>
    </row>
    <row r="18" spans="1:15" x14ac:dyDescent="0.25">
      <c r="A18" t="s">
        <v>19</v>
      </c>
      <c r="B18" s="13">
        <f>H77*100</f>
        <v>5.1391986427655141</v>
      </c>
      <c r="C18" t="s">
        <v>210</v>
      </c>
      <c r="D18" t="s">
        <v>20</v>
      </c>
      <c r="E18" s="3">
        <f>(AVERAGE(B18:B21))</f>
        <v>4.1437395166374564</v>
      </c>
      <c r="F18" t="s">
        <v>210</v>
      </c>
      <c r="H18" s="61"/>
      <c r="I18" s="61"/>
      <c r="J18" s="61"/>
      <c r="K18" s="4"/>
    </row>
    <row r="19" spans="1:15" x14ac:dyDescent="0.25">
      <c r="A19" t="s">
        <v>22</v>
      </c>
      <c r="B19" s="13">
        <f>H78*100</f>
        <v>3.365607911858965</v>
      </c>
      <c r="C19" t="s">
        <v>210</v>
      </c>
      <c r="D19" t="s">
        <v>23</v>
      </c>
      <c r="E19">
        <f>E18*K43/100</f>
        <v>11.177098620103726</v>
      </c>
      <c r="F19" t="s">
        <v>24</v>
      </c>
      <c r="H19" t="s">
        <v>56</v>
      </c>
      <c r="I19" s="4" t="s">
        <v>29</v>
      </c>
      <c r="J19" s="4" t="s">
        <v>30</v>
      </c>
    </row>
    <row r="20" spans="1:15" x14ac:dyDescent="0.25">
      <c r="A20" t="s">
        <v>25</v>
      </c>
      <c r="B20" s="13">
        <f>H79*100</f>
        <v>4.2080726515636542</v>
      </c>
      <c r="C20" t="s">
        <v>210</v>
      </c>
      <c r="H20" s="9" t="s">
        <v>54</v>
      </c>
      <c r="I20" s="5">
        <v>4.1059594005349513</v>
      </c>
      <c r="J20">
        <f>DEGREES(I20)</f>
        <v>235.25414450271825</v>
      </c>
    </row>
    <row r="21" spans="1:15" ht="15" customHeight="1" x14ac:dyDescent="0.25">
      <c r="A21" t="s">
        <v>26</v>
      </c>
      <c r="B21" s="13">
        <f>H80*100</f>
        <v>3.8620788603616929</v>
      </c>
      <c r="C21" t="s">
        <v>210</v>
      </c>
      <c r="D21" s="65" t="s">
        <v>207</v>
      </c>
      <c r="E21" s="65"/>
      <c r="F21" s="65"/>
      <c r="H21" s="9" t="s">
        <v>55</v>
      </c>
      <c r="I21" s="5">
        <v>3.9313476418624607</v>
      </c>
      <c r="J21">
        <f>DEGREES(I21)</f>
        <v>225.24962767742767</v>
      </c>
    </row>
    <row r="22" spans="1:15" x14ac:dyDescent="0.25">
      <c r="D22" t="s">
        <v>20</v>
      </c>
      <c r="E22">
        <f>E23/K43*100</f>
        <v>1.9138535916913946</v>
      </c>
      <c r="F22" t="s">
        <v>210</v>
      </c>
      <c r="H22" s="9" t="s">
        <v>79</v>
      </c>
      <c r="I22" s="5">
        <v>1.0511975365197086</v>
      </c>
      <c r="J22">
        <f>DEGREES(I22)</f>
        <v>60.22918227712853</v>
      </c>
    </row>
    <row r="23" spans="1:15" x14ac:dyDescent="0.25">
      <c r="D23" t="s">
        <v>23</v>
      </c>
      <c r="E23">
        <f>H42</f>
        <v>5.1623250575685287</v>
      </c>
      <c r="F23" t="s">
        <v>24</v>
      </c>
      <c r="N23" s="4"/>
      <c r="O23" s="4"/>
    </row>
    <row r="24" spans="1:15" x14ac:dyDescent="0.25">
      <c r="N24" s="4"/>
      <c r="O24" s="4"/>
    </row>
    <row r="25" spans="1:15" ht="15" customHeight="1" x14ac:dyDescent="0.25">
      <c r="A25" s="61" t="s">
        <v>275</v>
      </c>
      <c r="B25" s="61"/>
      <c r="C25" s="61"/>
      <c r="E25" s="61" t="s">
        <v>274</v>
      </c>
      <c r="F25" s="61"/>
      <c r="H25" s="61" t="s">
        <v>235</v>
      </c>
      <c r="I25" s="61"/>
      <c r="J25" s="61"/>
      <c r="K25" s="4"/>
      <c r="L25" s="4"/>
    </row>
    <row r="26" spans="1:15" x14ac:dyDescent="0.25">
      <c r="A26" s="61"/>
      <c r="B26" s="61"/>
      <c r="C26" s="61"/>
      <c r="E26" s="61"/>
      <c r="F26" s="61"/>
      <c r="H26" s="61"/>
      <c r="I26" s="61"/>
      <c r="J26" s="61"/>
      <c r="K26" s="4"/>
      <c r="L26" s="4"/>
    </row>
    <row r="27" spans="1:15" x14ac:dyDescent="0.25">
      <c r="B27" s="6"/>
      <c r="C27" s="6"/>
      <c r="H27" s="61"/>
      <c r="I27" s="61"/>
      <c r="J27" s="61"/>
      <c r="K27" s="4"/>
      <c r="L27" s="4"/>
    </row>
    <row r="28" spans="1:15" x14ac:dyDescent="0.25">
      <c r="D28" s="2" t="s">
        <v>14</v>
      </c>
      <c r="E28" s="71" t="s">
        <v>15</v>
      </c>
      <c r="F28" s="71"/>
      <c r="H28" s="61"/>
      <c r="I28" s="61"/>
      <c r="J28" s="61"/>
    </row>
    <row r="29" spans="1:15" x14ac:dyDescent="0.25">
      <c r="E29" s="72" t="s">
        <v>16</v>
      </c>
      <c r="F29" s="72"/>
      <c r="H29" s="61"/>
      <c r="I29" s="61"/>
      <c r="J29" s="61"/>
    </row>
    <row r="30" spans="1:15" x14ac:dyDescent="0.25">
      <c r="E30" s="73" t="s">
        <v>307</v>
      </c>
      <c r="F30" s="74"/>
    </row>
    <row r="32" spans="1:15" ht="15" customHeight="1" x14ac:dyDescent="0.25">
      <c r="A32" s="68" t="s">
        <v>83</v>
      </c>
      <c r="B32" s="7"/>
      <c r="C32" s="8" t="s">
        <v>31</v>
      </c>
      <c r="D32" s="8" t="s">
        <v>32</v>
      </c>
      <c r="E32" s="8" t="s">
        <v>33</v>
      </c>
      <c r="F32" s="8"/>
      <c r="G32" s="61" t="s">
        <v>95</v>
      </c>
      <c r="H32" s="61"/>
    </row>
    <row r="33" spans="1:13" ht="15" customHeight="1" x14ac:dyDescent="0.25">
      <c r="A33" s="68"/>
      <c r="B33" t="s">
        <v>82</v>
      </c>
      <c r="C33">
        <f>B10*$G$33+C10*$H$33+D10*$I$33</f>
        <v>160</v>
      </c>
      <c r="D33">
        <f>B10*$G$34+C10*$H$34+D10*$I$34</f>
        <v>160</v>
      </c>
      <c r="E33">
        <f>B10*$G$35+C10*$H$35+D10*$I$35</f>
        <v>160</v>
      </c>
      <c r="G33">
        <f>B4</f>
        <v>320</v>
      </c>
      <c r="H33">
        <f>B5*(COS(M35))</f>
        <v>1.960237527853792E-14</v>
      </c>
      <c r="I33">
        <f>B6*(COS(M34))</f>
        <v>1.960237527853792E-14</v>
      </c>
      <c r="K33" t="s">
        <v>51</v>
      </c>
      <c r="L33">
        <f>D4</f>
        <v>90</v>
      </c>
      <c r="M33">
        <f>RADIANS(L33)</f>
        <v>1.5707963267948966</v>
      </c>
    </row>
    <row r="34" spans="1:13" x14ac:dyDescent="0.25">
      <c r="B34" t="str">
        <f>A18</f>
        <v>P1</v>
      </c>
      <c r="C34">
        <f>B11*$G$33+C11*$H$33+D11*$I$33</f>
        <v>320</v>
      </c>
      <c r="D34">
        <f>B11*$G$34+C11*$H$34+D11*$I$34</f>
        <v>316.8</v>
      </c>
      <c r="E34">
        <f>B11*$G$35+C11*$H$35+D11*$I$35</f>
        <v>-9.6</v>
      </c>
      <c r="G34">
        <f>0</f>
        <v>0</v>
      </c>
      <c r="H34">
        <f>B5*(SIN(M35))</f>
        <v>320</v>
      </c>
      <c r="I34">
        <f>(B6*(COS(M33)-COS(M34)*COS(M35)))/(SIN(M35))</f>
        <v>1.960237527853792E-14</v>
      </c>
      <c r="K34" t="s">
        <v>93</v>
      </c>
      <c r="L34">
        <f>D5</f>
        <v>90</v>
      </c>
      <c r="M34">
        <f>RADIANS(L34)</f>
        <v>1.5707963267948966</v>
      </c>
    </row>
    <row r="35" spans="1:13" x14ac:dyDescent="0.25">
      <c r="B35" t="str">
        <f>A19</f>
        <v>P2</v>
      </c>
      <c r="C35">
        <f>B12*$G$33+C12*$H$33+D12*$I$33</f>
        <v>304</v>
      </c>
      <c r="D35">
        <f>B12*$G$34+C12*$H$34+D12*$I$34</f>
        <v>3.2000000000000188</v>
      </c>
      <c r="E35">
        <f>B12*$G$35+C12*$H$35+D12*$I$35</f>
        <v>307.2</v>
      </c>
      <c r="G35">
        <f>0</f>
        <v>0</v>
      </c>
      <c r="H35">
        <f>0</f>
        <v>0</v>
      </c>
      <c r="I35">
        <f>B6*(SQRT(1-POWER(COS(M34),2)-(POWER(COS(M33)-(COS(M34)*COS(M35)),2))/(POWER(SIN(M35),2))))</f>
        <v>320</v>
      </c>
      <c r="K35" t="s">
        <v>94</v>
      </c>
      <c r="L35">
        <f>D6</f>
        <v>90</v>
      </c>
      <c r="M35">
        <f>RADIANS(L35)</f>
        <v>1.5707963267948966</v>
      </c>
    </row>
    <row r="36" spans="1:13" x14ac:dyDescent="0.25">
      <c r="B36" t="str">
        <f>A20</f>
        <v>P3</v>
      </c>
      <c r="C36">
        <f>B13*$G$33+C13*$H$33+D13*$I$33</f>
        <v>9.6</v>
      </c>
      <c r="D36">
        <f>B13*$G$34+C13*$H$34+D13*$I$34</f>
        <v>7.0399999999999991</v>
      </c>
      <c r="E36">
        <f>B13*$G$35+C13*$H$35+D13*$I$35</f>
        <v>6.4</v>
      </c>
      <c r="G36" s="65" t="s">
        <v>272</v>
      </c>
      <c r="H36" s="65"/>
    </row>
    <row r="37" spans="1:13" x14ac:dyDescent="0.25">
      <c r="B37" t="str">
        <f>A21</f>
        <v>P4</v>
      </c>
      <c r="C37">
        <f>B14*$G$33+C14*$H$33+D14*$I$33</f>
        <v>-6.3999999999999622</v>
      </c>
      <c r="D37">
        <f>B14*$G$34+C14*$H$34+D14*$I$34</f>
        <v>310.39999999999998</v>
      </c>
      <c r="E37">
        <f>B14*$G$35+C14*$H$35+D14*$I$35</f>
        <v>320</v>
      </c>
      <c r="G37" s="6">
        <f>1/G33</f>
        <v>3.1250000000000002E-3</v>
      </c>
      <c r="H37">
        <f>-H33/(G33*H34)</f>
        <v>-1.9142944607947188E-19</v>
      </c>
      <c r="I37">
        <f>(H33*I34)/(G33*H34*I35)-I33/(G33*I35)</f>
        <v>-1.9142944607947188E-19</v>
      </c>
    </row>
    <row r="38" spans="1:13" x14ac:dyDescent="0.25">
      <c r="A38" t="s">
        <v>203</v>
      </c>
      <c r="B38" t="s">
        <v>204</v>
      </c>
      <c r="C38">
        <f>AVERAGE(C34:C37)</f>
        <v>156.80000000000001</v>
      </c>
      <c r="D38">
        <f>AVERAGE(D34:D37)</f>
        <v>159.36000000000001</v>
      </c>
      <c r="E38">
        <f>AVERAGE(E34:E37)</f>
        <v>156</v>
      </c>
      <c r="G38" s="6">
        <f>0</f>
        <v>0</v>
      </c>
      <c r="H38" s="6">
        <f>1/H34</f>
        <v>3.1250000000000002E-3</v>
      </c>
      <c r="I38">
        <f>-I34/(H34*I35)</f>
        <v>-1.9142944607947188E-19</v>
      </c>
    </row>
    <row r="39" spans="1:13" x14ac:dyDescent="0.25">
      <c r="G39" s="6">
        <f>0</f>
        <v>0</v>
      </c>
      <c r="H39">
        <f>0</f>
        <v>0</v>
      </c>
      <c r="I39" s="6">
        <f>1/I35</f>
        <v>3.1250000000000002E-3</v>
      </c>
    </row>
    <row r="40" spans="1:13" x14ac:dyDescent="0.25">
      <c r="G40" s="6"/>
    </row>
    <row r="41" spans="1:13" x14ac:dyDescent="0.25">
      <c r="A41" s="19" t="s">
        <v>205</v>
      </c>
      <c r="G41" s="6"/>
    </row>
    <row r="42" spans="1:13" x14ac:dyDescent="0.25">
      <c r="A42" s="30" t="s">
        <v>211</v>
      </c>
      <c r="B42" t="s">
        <v>208</v>
      </c>
      <c r="C42">
        <f t="shared" ref="C42:E46" si="0">C33-C$38</f>
        <v>3.1999999999999886</v>
      </c>
      <c r="D42">
        <f t="shared" si="0"/>
        <v>0.63999999999998636</v>
      </c>
      <c r="E42">
        <f t="shared" si="0"/>
        <v>4</v>
      </c>
      <c r="G42" s="6" t="s">
        <v>209</v>
      </c>
      <c r="H42">
        <f>SQRT(POWER(C42,2)+POWER(D42,2)+POWER(E42,2))</f>
        <v>5.1623250575685287</v>
      </c>
    </row>
    <row r="43" spans="1:13" x14ac:dyDescent="0.25">
      <c r="A43" s="4" t="s">
        <v>212</v>
      </c>
      <c r="B43" s="7" t="s">
        <v>36</v>
      </c>
      <c r="C43">
        <f t="shared" si="0"/>
        <v>163.19999999999999</v>
      </c>
      <c r="D43">
        <f t="shared" si="0"/>
        <v>157.44</v>
      </c>
      <c r="E43">
        <f t="shared" si="0"/>
        <v>-165.6</v>
      </c>
      <c r="G43" s="6" t="s">
        <v>37</v>
      </c>
      <c r="H43">
        <f>SQRT(POWER(C43,2)+POWER(D43,2)+POWER(E43,2))</f>
        <v>280.79343582071147</v>
      </c>
      <c r="J43" s="6" t="s">
        <v>314</v>
      </c>
      <c r="K43">
        <f>AVERAGE(H43:H46)</f>
        <v>269.73458575826862</v>
      </c>
    </row>
    <row r="44" spans="1:13" x14ac:dyDescent="0.25">
      <c r="A44" s="4" t="s">
        <v>213</v>
      </c>
      <c r="B44" s="7" t="s">
        <v>39</v>
      </c>
      <c r="C44">
        <f t="shared" si="0"/>
        <v>147.19999999999999</v>
      </c>
      <c r="D44">
        <f t="shared" si="0"/>
        <v>-156.16</v>
      </c>
      <c r="E44">
        <f t="shared" si="0"/>
        <v>151.19999999999999</v>
      </c>
      <c r="G44" s="6" t="s">
        <v>40</v>
      </c>
      <c r="H44">
        <f>SQRT(POWER(C44,2)+POWER(D44,2)+POWER(E44,2))</f>
        <v>262.51709582425292</v>
      </c>
    </row>
    <row r="45" spans="1:13" x14ac:dyDescent="0.25">
      <c r="A45" s="4" t="s">
        <v>214</v>
      </c>
      <c r="B45" s="7" t="s">
        <v>42</v>
      </c>
      <c r="C45">
        <f t="shared" si="0"/>
        <v>-147.20000000000002</v>
      </c>
      <c r="D45">
        <f t="shared" si="0"/>
        <v>-152.32000000000002</v>
      </c>
      <c r="E45">
        <f t="shared" si="0"/>
        <v>-149.6</v>
      </c>
      <c r="G45" s="6" t="s">
        <v>43</v>
      </c>
      <c r="H45">
        <f>SQRT(POWER(C45,2)+POWER(D45,2)+POWER(E45,2))</f>
        <v>259.32485881611893</v>
      </c>
    </row>
    <row r="46" spans="1:13" x14ac:dyDescent="0.25">
      <c r="A46" s="4" t="s">
        <v>215</v>
      </c>
      <c r="B46" s="7" t="s">
        <v>45</v>
      </c>
      <c r="C46">
        <f t="shared" si="0"/>
        <v>-163.19999999999996</v>
      </c>
      <c r="D46">
        <f t="shared" si="0"/>
        <v>151.03999999999996</v>
      </c>
      <c r="E46">
        <f t="shared" si="0"/>
        <v>164</v>
      </c>
      <c r="G46" s="6" t="s">
        <v>46</v>
      </c>
      <c r="H46">
        <f>SQRT(POWER(C46,2)+POWER(D46,2)+POWER(E46,2))</f>
        <v>276.30295257199111</v>
      </c>
    </row>
    <row r="48" spans="1:13" x14ac:dyDescent="0.25">
      <c r="A48" s="17" t="s">
        <v>157</v>
      </c>
      <c r="B48" s="7" t="s">
        <v>385</v>
      </c>
      <c r="C48">
        <f>C43/$K$43</f>
        <v>0.60503920749064399</v>
      </c>
      <c r="D48">
        <f t="shared" ref="C48:E51" si="1">D43/$K$43</f>
        <v>0.58368488252038597</v>
      </c>
      <c r="E48">
        <f t="shared" si="1"/>
        <v>-0.61393684289491812</v>
      </c>
      <c r="G48" s="6" t="str">
        <f>G43</f>
        <v>length of vector P1</v>
      </c>
      <c r="H48">
        <f>SQRT(POWER(C48,2)+POWER(D48,2)+POWER(E48,2))</f>
        <v>1.0409990066025627</v>
      </c>
      <c r="J48" s="6" t="s">
        <v>314</v>
      </c>
      <c r="K48">
        <f>AVERAGE(H48:H51)</f>
        <v>1</v>
      </c>
    </row>
    <row r="49" spans="1:12" x14ac:dyDescent="0.25">
      <c r="A49" s="4"/>
      <c r="B49" s="7" t="s">
        <v>386</v>
      </c>
      <c r="C49">
        <f t="shared" si="1"/>
        <v>0.54572163812881613</v>
      </c>
      <c r="D49">
        <f t="shared" si="1"/>
        <v>-0.57893947697143977</v>
      </c>
      <c r="E49">
        <f t="shared" si="1"/>
        <v>0.56055103046927313</v>
      </c>
      <c r="G49" s="6" t="str">
        <f>G44</f>
        <v>length of vector P2</v>
      </c>
      <c r="H49">
        <f>SQRT(POWER(C49,2)+POWER(D49,2)+POWER(E49,2))</f>
        <v>0.9732422525137957</v>
      </c>
    </row>
    <row r="50" spans="1:12" x14ac:dyDescent="0.25">
      <c r="A50" s="4"/>
      <c r="B50" s="7" t="s">
        <v>387</v>
      </c>
      <c r="C50">
        <f t="shared" si="1"/>
        <v>-0.54572163812881624</v>
      </c>
      <c r="D50">
        <f t="shared" si="1"/>
        <v>-0.56470326032460116</v>
      </c>
      <c r="E50">
        <f t="shared" si="1"/>
        <v>-0.55461927353309037</v>
      </c>
      <c r="G50" s="6" t="str">
        <f>G45</f>
        <v>length of vector P3</v>
      </c>
      <c r="H50">
        <f>SQRT(POWER(C50,2)+POWER(D50,2)+POWER(E50,2))</f>
        <v>0.96140751875445929</v>
      </c>
    </row>
    <row r="51" spans="1:12" x14ac:dyDescent="0.25">
      <c r="A51" s="4"/>
      <c r="B51" s="7" t="s">
        <v>388</v>
      </c>
      <c r="C51">
        <f t="shared" si="1"/>
        <v>-0.60503920749064388</v>
      </c>
      <c r="D51">
        <f t="shared" si="1"/>
        <v>0.55995785477565474</v>
      </c>
      <c r="E51">
        <f t="shared" si="1"/>
        <v>0.60800508595873537</v>
      </c>
      <c r="G51" s="6" t="str">
        <f>G46</f>
        <v>length of vector P4</v>
      </c>
      <c r="H51">
        <f>SQRT(POWER(C51,2)+POWER(D51,2)+POWER(E51,2))</f>
        <v>1.0243512221291822</v>
      </c>
    </row>
    <row r="53" spans="1:12" x14ac:dyDescent="0.25">
      <c r="A53" s="19" t="s">
        <v>175</v>
      </c>
      <c r="B53" s="7"/>
      <c r="C53" t="s">
        <v>63</v>
      </c>
      <c r="D53" t="s">
        <v>64</v>
      </c>
      <c r="E53" t="s">
        <v>65</v>
      </c>
      <c r="J53" t="s">
        <v>87</v>
      </c>
      <c r="K53" t="s">
        <v>88</v>
      </c>
    </row>
    <row r="54" spans="1:12" x14ac:dyDescent="0.25">
      <c r="B54" s="7" t="str">
        <f>E11</f>
        <v>P1*</v>
      </c>
      <c r="C54">
        <f>SIN($I$20)*COS($I$21)</f>
        <v>0.57848436027104178</v>
      </c>
      <c r="D54">
        <f>SIN($I$20)*SIN($I$21)</f>
        <v>0.58354716013888541</v>
      </c>
      <c r="E54">
        <f>COS($I$20)</f>
        <v>-0.56993732709451983</v>
      </c>
      <c r="G54" s="6" t="s">
        <v>67</v>
      </c>
      <c r="H54">
        <f>SQRT(POWER(C54,2)+POWER(D54,2)+POWER(E54,2))</f>
        <v>1</v>
      </c>
      <c r="I54" s="6"/>
      <c r="J54">
        <f>ACOS((C54*C55+D54*D55+E54*E55)/(SQRT(C54^2+D54^2+E54^2)*SQRT(C55^2+D55^2+E55^2)))</f>
        <v>1.9106332362490184</v>
      </c>
      <c r="K54">
        <f>DEGREES(J54)</f>
        <v>109.47122063449069</v>
      </c>
      <c r="L54" t="s">
        <v>81</v>
      </c>
    </row>
    <row r="55" spans="1:12" x14ac:dyDescent="0.25">
      <c r="B55" s="7" t="str">
        <f>E12</f>
        <v>P2*</v>
      </c>
      <c r="C55">
        <f>SIN($I$20+(ACOS(-1/3)))*COS($I$21)</f>
        <v>0.18547108563069523</v>
      </c>
      <c r="D55">
        <f>SIN($I$20+(ACOS(-1/3)))*SIN($I$21)</f>
        <v>0.18709429803246169</v>
      </c>
      <c r="E55">
        <f>COS($I$20+(ACOS(-1/3)))</f>
        <v>0.96467414189388934</v>
      </c>
      <c r="G55" s="6" t="s">
        <v>68</v>
      </c>
      <c r="H55">
        <f>SQRT(POWER(C55,2)+POWER(D55,2)+POWER(E55,2))</f>
        <v>1</v>
      </c>
      <c r="J55">
        <f>ACOS((C55*C56+D55*D56+E55*E56)/(SQRT(C55^2+D55^2+E55^2)*SQRT(C56^2+D56^2+E56^2)))</f>
        <v>1.9106332362490184</v>
      </c>
      <c r="K55">
        <f>DEGREES(J55)</f>
        <v>109.47122063449069</v>
      </c>
      <c r="L55" t="s">
        <v>89</v>
      </c>
    </row>
    <row r="56" spans="1:12" x14ac:dyDescent="0.25">
      <c r="B56" s="7" t="str">
        <f>E13</f>
        <v>P3*</v>
      </c>
      <c r="C56">
        <f>C59*C55+D59*D55+E59*E55</f>
        <v>0.19788247269487852</v>
      </c>
      <c r="D56">
        <f>C60*C55+D60*D55+E60*E55</f>
        <v>-0.96015011261816396</v>
      </c>
      <c r="E56" s="11">
        <f>C61*C55+D61*D55+E61*E55</f>
        <v>-0.19736840739968461</v>
      </c>
      <c r="G56" s="6" t="s">
        <v>69</v>
      </c>
      <c r="H56">
        <f>SQRT(POWER(C56,2)+POWER(D56,2)+POWER(E56,2))</f>
        <v>1</v>
      </c>
      <c r="J56">
        <f>ACOS((C56*C57+D56*D57+E56*E57)/(SQRT(C56^2+D56^2+E56^2)*SQRT(C57^2+D57^2+E57^2)))</f>
        <v>1.9106332362490184</v>
      </c>
      <c r="K56">
        <f>DEGREES(J56)</f>
        <v>109.47122063449069</v>
      </c>
      <c r="L56" t="s">
        <v>90</v>
      </c>
    </row>
    <row r="57" spans="1:12" x14ac:dyDescent="0.25">
      <c r="B57" s="7" t="str">
        <f>E14</f>
        <v>P4*</v>
      </c>
      <c r="C57">
        <f>C59*C56+D59*D56+E59*E56</f>
        <v>-0.96183791859661527</v>
      </c>
      <c r="D57">
        <f>C60*C56+D60*D56+E60*E56</f>
        <v>0.18950865444681655</v>
      </c>
      <c r="E57">
        <f>C61*C56+D61*D56+E61*E56</f>
        <v>-0.19736840739968511</v>
      </c>
      <c r="G57" s="6" t="s">
        <v>70</v>
      </c>
      <c r="H57">
        <f>SQRT(POWER(C57,2)+POWER(D57,2)+POWER(E57,2))</f>
        <v>1</v>
      </c>
      <c r="J57">
        <f>ACOS((C57*C54+D57*D54+E57*E54)/(SQRT(C57^2+D57^2+E57^2)*SQRT(C54^2+D54^2+E54^2)))</f>
        <v>1.9106332362490186</v>
      </c>
      <c r="K57">
        <f>DEGREES(J57)</f>
        <v>109.47122063449069</v>
      </c>
      <c r="L57" t="s">
        <v>169</v>
      </c>
    </row>
    <row r="58" spans="1:12" x14ac:dyDescent="0.25">
      <c r="B58" s="7"/>
      <c r="G58" s="6"/>
    </row>
    <row r="59" spans="1:12" x14ac:dyDescent="0.25">
      <c r="A59" s="67" t="s">
        <v>172</v>
      </c>
      <c r="C59">
        <f>($C$54^2)*(1-COS(H60))+COS(H60)</f>
        <v>1.966232617294783E-3</v>
      </c>
      <c r="D59">
        <f>$C$54*$D$54*(1-COS(H60))-$E$54*SIN(H60)</f>
        <v>0.99993956226024461</v>
      </c>
      <c r="E59">
        <f>$C$54*$E$54*(1-COS(H60))+$D$54*SIN(H60)</f>
        <v>1.0816919898249622E-2</v>
      </c>
      <c r="G59" s="6" t="s">
        <v>164</v>
      </c>
      <c r="H59" t="s">
        <v>29</v>
      </c>
    </row>
    <row r="60" spans="1:12" x14ac:dyDescent="0.25">
      <c r="A60" s="68"/>
      <c r="B60" t="s">
        <v>313</v>
      </c>
      <c r="C60">
        <f>$D$54*$C$54*(1-COS(H60))+$E$54*SIN(H60)</f>
        <v>1.2779154602534093E-2</v>
      </c>
      <c r="D60">
        <f>($D$54^2)*(1-COS(H60))+COS(H60)</f>
        <v>1.0790932159237099E-2</v>
      </c>
      <c r="E60">
        <f>$D$54*$E$54*(1-COS(H60))-$C$54*SIN(H60)</f>
        <v>-0.99986011471144276</v>
      </c>
      <c r="G60" s="6">
        <v>120</v>
      </c>
      <c r="H60">
        <f>RADIANS(G60)</f>
        <v>2.0943951023931953</v>
      </c>
    </row>
    <row r="61" spans="1:12" x14ac:dyDescent="0.25">
      <c r="C61">
        <f>$E$54*$C$54*(1-COS(H60))-$D$54*SIN(H60)</f>
        <v>-0.99991641007483179</v>
      </c>
      <c r="D61">
        <f>$D$54*$E$54*(1-COS(H60))+$C$54*SIN(H60)</f>
        <v>2.1041886619806438E-3</v>
      </c>
      <c r="E61">
        <f>($E$54^2)*(1-COS(H60))+COS(H60)</f>
        <v>-1.2757164776531271E-2</v>
      </c>
      <c r="G61" s="6"/>
    </row>
    <row r="62" spans="1:12" x14ac:dyDescent="0.25">
      <c r="G62" s="6"/>
    </row>
    <row r="63" spans="1:12" x14ac:dyDescent="0.25">
      <c r="A63" s="12" t="s">
        <v>86</v>
      </c>
      <c r="B63" s="7" t="s">
        <v>73</v>
      </c>
      <c r="C63">
        <f t="shared" ref="C63:E66" si="2">C54-C48</f>
        <v>-2.6554847219602218E-2</v>
      </c>
      <c r="D63">
        <f t="shared" si="2"/>
        <v>-1.3772238150056015E-4</v>
      </c>
      <c r="E63">
        <f t="shared" si="2"/>
        <v>4.3999515800398292E-2</v>
      </c>
      <c r="G63" s="6" t="s">
        <v>78</v>
      </c>
      <c r="H63">
        <f>SQRT(POWER(C63,2)+POWER(D63,2)+POWER(E63,2))</f>
        <v>5.1391986427655051E-2</v>
      </c>
    </row>
    <row r="64" spans="1:12" x14ac:dyDescent="0.25">
      <c r="B64" s="7" t="s">
        <v>74</v>
      </c>
      <c r="C64">
        <f t="shared" si="2"/>
        <v>-0.36025055249812088</v>
      </c>
      <c r="D64">
        <f t="shared" si="2"/>
        <v>0.76603377500390146</v>
      </c>
      <c r="E64">
        <f t="shared" si="2"/>
        <v>0.40412311142461621</v>
      </c>
      <c r="G64" s="6" t="s">
        <v>78</v>
      </c>
      <c r="H64">
        <f>SQRT(POWER(C64,2)+POWER(D64,2)+POWER(E64,2))</f>
        <v>0.9380318194013687</v>
      </c>
    </row>
    <row r="65" spans="1:12" x14ac:dyDescent="0.25">
      <c r="B65" s="7" t="s">
        <v>75</v>
      </c>
      <c r="C65">
        <f t="shared" si="2"/>
        <v>0.74360411082369482</v>
      </c>
      <c r="D65">
        <f t="shared" si="2"/>
        <v>-0.3954468522935628</v>
      </c>
      <c r="E65">
        <f t="shared" si="2"/>
        <v>0.35725086613340573</v>
      </c>
      <c r="G65" s="6" t="s">
        <v>78</v>
      </c>
      <c r="H65">
        <f>SQRT(POWER(C65,2)+POWER(D65,2)+POWER(E65,2))</f>
        <v>0.91485160981213409</v>
      </c>
    </row>
    <row r="66" spans="1:12" x14ac:dyDescent="0.25">
      <c r="B66" s="7" t="s">
        <v>76</v>
      </c>
      <c r="C66">
        <f t="shared" si="2"/>
        <v>-0.35679871110597139</v>
      </c>
      <c r="D66">
        <f t="shared" si="2"/>
        <v>-0.37044920032883821</v>
      </c>
      <c r="E66">
        <f t="shared" si="2"/>
        <v>-0.80537349335842046</v>
      </c>
      <c r="G66" s="6" t="s">
        <v>78</v>
      </c>
      <c r="H66">
        <f>SQRT(POWER(C66,2)+POWER(D66,2)+POWER(E66,2))</f>
        <v>0.95559635520208208</v>
      </c>
    </row>
    <row r="68" spans="1:12" x14ac:dyDescent="0.25">
      <c r="A68" s="67" t="s">
        <v>162</v>
      </c>
      <c r="C68">
        <f>(C54^2)*(1-COS($I$22))+COS($I$22)</f>
        <v>0.66501457048502877</v>
      </c>
      <c r="D68">
        <f>C54*D54*(1-COS($I$22))-E54*SIN($I$22)</f>
        <v>0.66467330518246792</v>
      </c>
      <c r="E68">
        <f>C54*E54*(1-COS($I$22))+D54*SIN($I$22)</f>
        <v>0.34053636871915244</v>
      </c>
    </row>
    <row r="69" spans="1:12" x14ac:dyDescent="0.25">
      <c r="A69" s="68"/>
      <c r="B69" t="s">
        <v>237</v>
      </c>
      <c r="C69">
        <f>D54*C54*(1-COS($I$22))+E54*SIN($I$22)</f>
        <v>-0.32475894012467588</v>
      </c>
      <c r="D69">
        <f>(D54^2)*(1-COS($I$22))+COS($I$22)</f>
        <v>0.66797654017283858</v>
      </c>
      <c r="E69">
        <f>D54*E54*(1-COS($I$22))-C54*SIN($I$22)</f>
        <v>-0.66958119193106191</v>
      </c>
    </row>
    <row r="70" spans="1:12" x14ac:dyDescent="0.25">
      <c r="C70">
        <f>E54*C54*(1-COS($I$22))-D54*SIN($I$22)</f>
        <v>-0.67252304930887674</v>
      </c>
      <c r="D70">
        <f>D54*E54*(1-COS($I$22))+C54*SIN($I$22)</f>
        <v>0.33468901857775096</v>
      </c>
      <c r="E70">
        <f>(E54^2)*(1-COS($I$22))+COS($I$22)</f>
        <v>0.66007273007733924</v>
      </c>
    </row>
    <row r="71" spans="1:12" x14ac:dyDescent="0.25">
      <c r="J71" t="s">
        <v>87</v>
      </c>
      <c r="K71" t="s">
        <v>88</v>
      </c>
    </row>
    <row r="72" spans="1:12" x14ac:dyDescent="0.25">
      <c r="A72" s="19" t="s">
        <v>173</v>
      </c>
      <c r="B72" t="str">
        <f>B54</f>
        <v>P1*</v>
      </c>
      <c r="C72">
        <f>C54*$C$68+D54*$D$68+E54*$E$68</f>
        <v>0.57848436027104178</v>
      </c>
      <c r="D72">
        <f>C54*$C$69+D54*$D$69+E54*$E$69</f>
        <v>0.58354716013888552</v>
      </c>
      <c r="E72">
        <f>C54*$C$70+D54*$D$70+E54*$E$70</f>
        <v>-0.56993732709451972</v>
      </c>
      <c r="G72" t="str">
        <f>G54</f>
        <v>length of vector P1*</v>
      </c>
      <c r="H72">
        <f>H54</f>
        <v>1</v>
      </c>
      <c r="J72">
        <f>ACOS((C72*C73+D72*D73+E72*E73)/(SQRT(C72^2+D72^2+E72^2)*SQRT(C73^2+D73^2+E73^2)))</f>
        <v>1.9106332362490184</v>
      </c>
      <c r="K72">
        <f>DEGREES(J72)</f>
        <v>109.47122063449069</v>
      </c>
      <c r="L72" t="s">
        <v>81</v>
      </c>
    </row>
    <row r="73" spans="1:12" x14ac:dyDescent="0.25">
      <c r="B73" t="str">
        <f>B55</f>
        <v>P2*</v>
      </c>
      <c r="C73">
        <f>C55*$C$68+D55*$D$68+E55*$E$68</f>
        <v>0.57620418907992832</v>
      </c>
      <c r="D73">
        <f>C55*$C$69+D55*$D$69+E55*$E$69</f>
        <v>-0.58118645306179273</v>
      </c>
      <c r="E73">
        <f>C55*$C$70+D55*$D$70+E55*$E$70</f>
        <v>0.57463992139790898</v>
      </c>
      <c r="G73" s="6" t="s">
        <v>67</v>
      </c>
      <c r="H73">
        <f>SQRT(POWER(C73,2)+POWER(D73,2)+POWER(E73,2))</f>
        <v>1</v>
      </c>
      <c r="J73">
        <f>ACOS((C73*C74+D73*D74+E73*E74)/(SQRT(C73^2+D73^2+E73^2)*SQRT(C74^2+D74^2+E74^2)))</f>
        <v>1.9106332362490182</v>
      </c>
      <c r="K73">
        <f>DEGREES(J73)</f>
        <v>109.47122063449068</v>
      </c>
      <c r="L73" t="s">
        <v>89</v>
      </c>
    </row>
    <row r="74" spans="1:12" x14ac:dyDescent="0.25">
      <c r="B74" t="str">
        <f>B56</f>
        <v>P3*</v>
      </c>
      <c r="C74">
        <f>C56*$C$68+D56*$D$68+E56*$E$68</f>
        <v>-0.57380254199530456</v>
      </c>
      <c r="D74">
        <f>C56*$C$69+D56*$D$69+E56*$E$69</f>
        <v>-0.57346767889866512</v>
      </c>
      <c r="E74">
        <f>C56*$C$70+D56*$D$70+E56*$E$70</f>
        <v>-0.58470972632435692</v>
      </c>
      <c r="G74" s="6" t="s">
        <v>68</v>
      </c>
      <c r="H74">
        <f>SQRT(POWER(C74,2)+POWER(D74,2)+POWER(E74,2))</f>
        <v>1</v>
      </c>
      <c r="J74">
        <f>ACOS((C74*C75+D74*D75+E74*E75)/(SQRT(C74^2+D74^2+E74^2)*SQRT(C75^2+D75^2+E75^2)))</f>
        <v>1.9106332362490184</v>
      </c>
      <c r="K74">
        <f>DEGREES(J74)</f>
        <v>109.47122063449069</v>
      </c>
      <c r="L74" t="s">
        <v>90</v>
      </c>
    </row>
    <row r="75" spans="1:12" x14ac:dyDescent="0.25">
      <c r="B75" t="str">
        <f>B57</f>
        <v>P4*</v>
      </c>
      <c r="C75">
        <f>C57*$C$68+D57*$D$68+E57*$E$68</f>
        <v>-0.58088600735566553</v>
      </c>
      <c r="D75">
        <f>C57*$C$69+D57*$D$69+E57*$E$69</f>
        <v>0.57110697182157222</v>
      </c>
      <c r="E75">
        <f>C57*$C$70+D57*$D$70+E57*$E$70</f>
        <v>0.58000713202096732</v>
      </c>
      <c r="G75" s="6" t="s">
        <v>69</v>
      </c>
      <c r="H75">
        <f>SQRT(POWER(C75,2)+POWER(D75,2)+POWER(E75,2))</f>
        <v>1</v>
      </c>
      <c r="J75">
        <f>ACOS((C75*C73+D75*D73+E75*E73)/(SQRT(C75^2+D75^2+E75^2)*SQRT(C73^2+D73^2+E73^2)))</f>
        <v>1.9106332362490193</v>
      </c>
      <c r="K75">
        <f>DEGREES(J75)</f>
        <v>109.47122063449073</v>
      </c>
      <c r="L75" t="s">
        <v>174</v>
      </c>
    </row>
    <row r="76" spans="1:12" x14ac:dyDescent="0.25">
      <c r="B76" s="7"/>
      <c r="C76" s="7"/>
      <c r="D76" s="7"/>
      <c r="E76" s="7"/>
      <c r="G76" s="6"/>
    </row>
    <row r="77" spans="1:12" x14ac:dyDescent="0.25">
      <c r="A77" s="12" t="s">
        <v>72</v>
      </c>
      <c r="B77" t="str">
        <f>B63</f>
        <v>P1*-P1</v>
      </c>
      <c r="C77">
        <f>C72-C48</f>
        <v>-2.6554847219602218E-2</v>
      </c>
      <c r="D77">
        <f t="shared" ref="C77:E80" si="3">D72-D48</f>
        <v>-1.3772238150044913E-4</v>
      </c>
      <c r="E77">
        <f t="shared" si="3"/>
        <v>4.3999515800398403E-2</v>
      </c>
      <c r="G77" s="6" t="s">
        <v>78</v>
      </c>
      <c r="H77">
        <f>SQRT(POWER(C77,2)+POWER(D77,2)+POWER(E77,2))</f>
        <v>5.1391986427655141E-2</v>
      </c>
    </row>
    <row r="78" spans="1:12" x14ac:dyDescent="0.25">
      <c r="B78" t="str">
        <f>B64</f>
        <v>P2*-P2</v>
      </c>
      <c r="C78">
        <f>C73-C49</f>
        <v>3.0482550951112186E-2</v>
      </c>
      <c r="D78">
        <f t="shared" si="3"/>
        <v>-2.246976090352959E-3</v>
      </c>
      <c r="E78">
        <f t="shared" si="3"/>
        <v>1.4088890928635855E-2</v>
      </c>
      <c r="G78" s="6" t="s">
        <v>78</v>
      </c>
      <c r="H78">
        <f>SQRT(POWER(C78,2)+POWER(D78,2)+POWER(E78,2))</f>
        <v>3.365607911858965E-2</v>
      </c>
    </row>
    <row r="79" spans="1:12" x14ac:dyDescent="0.25">
      <c r="B79" t="str">
        <f>B65</f>
        <v>P3*-P3</v>
      </c>
      <c r="C79">
        <f t="shared" si="3"/>
        <v>-2.8080903866488316E-2</v>
      </c>
      <c r="D79">
        <f t="shared" si="3"/>
        <v>-8.7644185740639591E-3</v>
      </c>
      <c r="E79">
        <f t="shared" si="3"/>
        <v>-3.0090452791266542E-2</v>
      </c>
      <c r="G79" s="6" t="s">
        <v>78</v>
      </c>
      <c r="H79">
        <f>SQRT(POWER(C79,2)+POWER(D79,2)+POWER(E79,2))</f>
        <v>4.2080726515636539E-2</v>
      </c>
    </row>
    <row r="80" spans="1:12" x14ac:dyDescent="0.25">
      <c r="B80" t="str">
        <f>B66</f>
        <v>P4*-P4</v>
      </c>
      <c r="C80">
        <f t="shared" si="3"/>
        <v>2.4153200134978348E-2</v>
      </c>
      <c r="D80">
        <f t="shared" si="3"/>
        <v>1.1149117045917478E-2</v>
      </c>
      <c r="E80">
        <f t="shared" si="3"/>
        <v>-2.799795393776805E-2</v>
      </c>
      <c r="G80" s="6" t="s">
        <v>78</v>
      </c>
      <c r="H80">
        <f>SQRT(POWER(C80,2)+POWER(D80,2)+POWER(E80,2))</f>
        <v>3.862078860361693E-2</v>
      </c>
    </row>
    <row r="81" spans="1:7" x14ac:dyDescent="0.25">
      <c r="B81" s="7"/>
      <c r="G81" s="6"/>
    </row>
    <row r="82" spans="1:7" x14ac:dyDescent="0.25">
      <c r="A82" s="19" t="s">
        <v>232</v>
      </c>
      <c r="B82" s="7" t="s">
        <v>204</v>
      </c>
      <c r="C82">
        <v>0</v>
      </c>
      <c r="D82">
        <v>0</v>
      </c>
      <c r="E82">
        <v>0</v>
      </c>
    </row>
    <row r="83" spans="1:7" x14ac:dyDescent="0.25">
      <c r="B83" t="str">
        <f>B72</f>
        <v>P1*</v>
      </c>
      <c r="C83">
        <f>C72*$K$43</f>
        <v>156.03723928534649</v>
      </c>
      <c r="D83">
        <f t="shared" ref="C83:E86" si="4">D72*$K$43</f>
        <v>157.40285151047632</v>
      </c>
      <c r="E83">
        <f t="shared" si="4"/>
        <v>-153.73180883201513</v>
      </c>
    </row>
    <row r="84" spans="1:7" x14ac:dyDescent="0.25">
      <c r="B84" t="str">
        <f>B73</f>
        <v>P2*</v>
      </c>
      <c r="C84">
        <f t="shared" si="4"/>
        <v>155.42219825365356</v>
      </c>
      <c r="D84">
        <f t="shared" si="4"/>
        <v>-156.7660871649401</v>
      </c>
      <c r="E84">
        <f t="shared" si="4"/>
        <v>155.00026115842903</v>
      </c>
    </row>
    <row r="85" spans="1:7" x14ac:dyDescent="0.25">
      <c r="B85" t="str">
        <f>B74</f>
        <v>P3*</v>
      </c>
      <c r="C85">
        <f t="shared" si="4"/>
        <v>-154.774390972145</v>
      </c>
      <c r="D85">
        <f t="shared" si="4"/>
        <v>-154.68406681348725</v>
      </c>
      <c r="E85">
        <f t="shared" si="4"/>
        <v>-157.71643581893102</v>
      </c>
    </row>
    <row r="86" spans="1:7" x14ac:dyDescent="0.25">
      <c r="B86" t="str">
        <f>B75</f>
        <v>P4*</v>
      </c>
      <c r="C86">
        <f t="shared" si="4"/>
        <v>-156.68504656685502</v>
      </c>
      <c r="D86">
        <f t="shared" si="4"/>
        <v>154.04730246795097</v>
      </c>
      <c r="E86">
        <f t="shared" si="4"/>
        <v>156.44798349251704</v>
      </c>
    </row>
    <row r="88" spans="1:7" x14ac:dyDescent="0.25">
      <c r="A88" s="19" t="s">
        <v>233</v>
      </c>
      <c r="B88" t="s">
        <v>204</v>
      </c>
      <c r="C88">
        <f t="shared" ref="C88:E92" si="5">C82+C$38</f>
        <v>156.80000000000001</v>
      </c>
      <c r="D88">
        <f t="shared" si="5"/>
        <v>159.36000000000001</v>
      </c>
      <c r="E88">
        <f t="shared" si="5"/>
        <v>156</v>
      </c>
    </row>
    <row r="89" spans="1:7" x14ac:dyDescent="0.25">
      <c r="B89" t="str">
        <f>B83</f>
        <v>P1*</v>
      </c>
      <c r="C89">
        <f t="shared" si="5"/>
        <v>312.83723928534653</v>
      </c>
      <c r="D89">
        <f t="shared" si="5"/>
        <v>316.76285151047637</v>
      </c>
      <c r="E89">
        <f t="shared" si="5"/>
        <v>2.2681911679848668</v>
      </c>
    </row>
    <row r="90" spans="1:7" x14ac:dyDescent="0.25">
      <c r="B90" t="str">
        <f>B84</f>
        <v>P2*</v>
      </c>
      <c r="C90">
        <f t="shared" si="5"/>
        <v>312.22219825365357</v>
      </c>
      <c r="D90">
        <f t="shared" si="5"/>
        <v>2.5939128350599105</v>
      </c>
      <c r="E90">
        <f t="shared" si="5"/>
        <v>311.000261158429</v>
      </c>
    </row>
    <row r="91" spans="1:7" x14ac:dyDescent="0.25">
      <c r="B91" t="str">
        <f>B85</f>
        <v>P3*</v>
      </c>
      <c r="C91">
        <f t="shared" si="5"/>
        <v>2.0256090278550118</v>
      </c>
      <c r="D91">
        <f t="shared" si="5"/>
        <v>4.6759331865127649</v>
      </c>
      <c r="E91">
        <f t="shared" si="5"/>
        <v>-1.7164358189310178</v>
      </c>
    </row>
    <row r="92" spans="1:7" x14ac:dyDescent="0.25">
      <c r="B92" t="str">
        <f>B86</f>
        <v>P4*</v>
      </c>
      <c r="C92">
        <f t="shared" si="5"/>
        <v>0.11495343314498996</v>
      </c>
      <c r="D92">
        <f t="shared" si="5"/>
        <v>313.40730246795101</v>
      </c>
      <c r="E92">
        <f t="shared" si="5"/>
        <v>312.44798349251704</v>
      </c>
    </row>
  </sheetData>
  <mergeCells count="18">
    <mergeCell ref="B2:D2"/>
    <mergeCell ref="E28:F28"/>
    <mergeCell ref="E29:F29"/>
    <mergeCell ref="E30:F30"/>
    <mergeCell ref="F3:G5"/>
    <mergeCell ref="D17:F17"/>
    <mergeCell ref="E8:H8"/>
    <mergeCell ref="B8:D8"/>
    <mergeCell ref="E25:F26"/>
    <mergeCell ref="H25:J29"/>
    <mergeCell ref="H17:J18"/>
    <mergeCell ref="A68:A69"/>
    <mergeCell ref="A59:A60"/>
    <mergeCell ref="D21:F21"/>
    <mergeCell ref="G32:H32"/>
    <mergeCell ref="A32:A33"/>
    <mergeCell ref="G36:H36"/>
    <mergeCell ref="A25:C26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5"/>
  <sheetViews>
    <sheetView workbookViewId="0">
      <selection activeCell="I66" sqref="I66"/>
    </sheetView>
  </sheetViews>
  <sheetFormatPr baseColWidth="10" defaultRowHeight="15" x14ac:dyDescent="0.25"/>
  <cols>
    <col min="1" max="1" width="26.7109375" customWidth="1"/>
    <col min="2" max="12" width="13.7109375" customWidth="1"/>
    <col min="13" max="13" width="12" bestFit="1" customWidth="1"/>
  </cols>
  <sheetData>
    <row r="1" spans="1:8" x14ac:dyDescent="0.25">
      <c r="A1" t="s">
        <v>0</v>
      </c>
    </row>
    <row r="2" spans="1:8" x14ac:dyDescent="0.25">
      <c r="A2" s="29"/>
      <c r="B2" s="69" t="s">
        <v>134</v>
      </c>
      <c r="C2" s="70"/>
      <c r="D2" s="70"/>
    </row>
    <row r="3" spans="1:8" ht="15" customHeight="1" x14ac:dyDescent="0.25">
      <c r="A3" t="s">
        <v>1</v>
      </c>
      <c r="F3" s="75" t="s">
        <v>315</v>
      </c>
      <c r="G3" s="76"/>
    </row>
    <row r="4" spans="1:8" ht="15" customHeight="1" x14ac:dyDescent="0.25">
      <c r="A4" t="s">
        <v>2</v>
      </c>
      <c r="B4" s="1">
        <v>300</v>
      </c>
      <c r="C4" s="43" t="s">
        <v>51</v>
      </c>
      <c r="D4" s="1">
        <v>90</v>
      </c>
      <c r="F4" s="76"/>
      <c r="G4" s="76"/>
    </row>
    <row r="5" spans="1:8" ht="15" customHeight="1" x14ac:dyDescent="0.25">
      <c r="A5" t="s">
        <v>3</v>
      </c>
      <c r="B5" s="1">
        <v>300</v>
      </c>
      <c r="C5" s="43" t="s">
        <v>52</v>
      </c>
      <c r="D5" s="1">
        <v>90</v>
      </c>
      <c r="F5" s="76"/>
      <c r="G5" s="76"/>
    </row>
    <row r="6" spans="1:8" x14ac:dyDescent="0.25">
      <c r="A6" t="s">
        <v>4</v>
      </c>
      <c r="B6" s="1">
        <v>300</v>
      </c>
      <c r="C6" s="43" t="s">
        <v>53</v>
      </c>
      <c r="D6" s="1">
        <v>90</v>
      </c>
    </row>
    <row r="8" spans="1:8" x14ac:dyDescent="0.25">
      <c r="B8" s="79" t="s">
        <v>277</v>
      </c>
      <c r="C8" s="79"/>
      <c r="D8" s="79"/>
      <c r="E8" s="77" t="s">
        <v>234</v>
      </c>
      <c r="F8" s="77"/>
      <c r="G8" s="77"/>
      <c r="H8" s="77"/>
    </row>
    <row r="9" spans="1:8" x14ac:dyDescent="0.25">
      <c r="A9" t="s">
        <v>5</v>
      </c>
      <c r="B9" s="38" t="s">
        <v>6</v>
      </c>
      <c r="C9" s="38" t="s">
        <v>7</v>
      </c>
      <c r="D9" s="38" t="s">
        <v>8</v>
      </c>
      <c r="E9" s="39"/>
      <c r="F9" s="39" t="s">
        <v>6</v>
      </c>
      <c r="G9" s="39" t="s">
        <v>7</v>
      </c>
      <c r="H9" s="39" t="s">
        <v>8</v>
      </c>
    </row>
    <row r="10" spans="1:8" x14ac:dyDescent="0.25">
      <c r="A10" t="s">
        <v>96</v>
      </c>
      <c r="B10" s="1">
        <v>0.5</v>
      </c>
      <c r="C10" s="1">
        <v>0.5</v>
      </c>
      <c r="D10" s="1">
        <v>0.5</v>
      </c>
      <c r="E10" s="14" t="s">
        <v>82</v>
      </c>
      <c r="F10" s="12">
        <f t="shared" ref="F10:F18" si="0">C127*$G$41+D127*$H$41+E127*$I$41</f>
        <v>0.50875000000000004</v>
      </c>
      <c r="G10" s="12">
        <f t="shared" ref="G10:G18" si="1">C127*$G$42+D127*$H$42+E127*$I$42</f>
        <v>0.49999999999999994</v>
      </c>
      <c r="H10" s="12">
        <f t="shared" ref="H10:H18" si="2">C127*$G$43+D127*$H$43+E127*$I$43</f>
        <v>0.49125000000000002</v>
      </c>
    </row>
    <row r="11" spans="1:8" x14ac:dyDescent="0.25">
      <c r="A11" t="s">
        <v>9</v>
      </c>
      <c r="B11" s="1">
        <v>1.01</v>
      </c>
      <c r="C11" s="1">
        <v>0</v>
      </c>
      <c r="D11" s="1">
        <v>1</v>
      </c>
      <c r="E11" s="15" t="s">
        <v>58</v>
      </c>
      <c r="F11" s="28">
        <f t="shared" si="0"/>
        <v>1.0094961553121193</v>
      </c>
      <c r="G11" s="28">
        <f t="shared" si="1"/>
        <v>4.2944241289732911E-3</v>
      </c>
      <c r="H11" s="28">
        <f t="shared" si="2"/>
        <v>0.99540377362398358</v>
      </c>
    </row>
    <row r="12" spans="1:8" x14ac:dyDescent="0.25">
      <c r="A12" t="s">
        <v>10</v>
      </c>
      <c r="B12" s="1">
        <v>1.03</v>
      </c>
      <c r="C12" s="1">
        <v>1</v>
      </c>
      <c r="D12" s="1">
        <v>0.94</v>
      </c>
      <c r="E12" s="15" t="s">
        <v>59</v>
      </c>
      <c r="F12" s="28">
        <f t="shared" si="0"/>
        <v>1.0044873574145174</v>
      </c>
      <c r="G12" s="28">
        <f t="shared" si="1"/>
        <v>1.0047016700678668</v>
      </c>
      <c r="H12" s="28">
        <f t="shared" si="2"/>
        <v>0.99141242778039129</v>
      </c>
    </row>
    <row r="13" spans="1:8" x14ac:dyDescent="0.25">
      <c r="A13" t="s">
        <v>11</v>
      </c>
      <c r="B13" s="22">
        <v>0</v>
      </c>
      <c r="C13" s="23">
        <v>1</v>
      </c>
      <c r="D13" s="23">
        <v>1</v>
      </c>
      <c r="E13" s="24" t="s">
        <v>60</v>
      </c>
      <c r="F13" s="27">
        <f t="shared" si="0"/>
        <v>4.079845049917946E-3</v>
      </c>
      <c r="G13" s="27">
        <f t="shared" si="1"/>
        <v>0.99967729482894407</v>
      </c>
      <c r="H13" s="27">
        <f t="shared" si="2"/>
        <v>0.98750839358532483</v>
      </c>
    </row>
    <row r="14" spans="1:8" x14ac:dyDescent="0.25">
      <c r="A14" t="s">
        <v>12</v>
      </c>
      <c r="B14" s="1">
        <v>0</v>
      </c>
      <c r="C14" s="1">
        <v>0</v>
      </c>
      <c r="D14" s="1">
        <v>0.99</v>
      </c>
      <c r="E14" s="15" t="s">
        <v>61</v>
      </c>
      <c r="F14" s="28">
        <f t="shared" si="0"/>
        <v>9.0886429475194909E-3</v>
      </c>
      <c r="G14" s="28">
        <f t="shared" si="1"/>
        <v>-7.2995110994949087E-4</v>
      </c>
      <c r="H14" s="28">
        <f t="shared" si="2"/>
        <v>0.99149973942891723</v>
      </c>
    </row>
    <row r="15" spans="1:8" x14ac:dyDescent="0.25">
      <c r="A15" t="s">
        <v>13</v>
      </c>
      <c r="B15" s="1">
        <v>1.05</v>
      </c>
      <c r="C15" s="1">
        <v>0</v>
      </c>
      <c r="D15" s="1">
        <v>0</v>
      </c>
      <c r="E15" s="15" t="s">
        <v>62</v>
      </c>
      <c r="F15" s="28">
        <f t="shared" si="0"/>
        <v>1.0134201549500816</v>
      </c>
      <c r="G15" s="28">
        <f t="shared" si="1"/>
        <v>3.2270517105615715E-4</v>
      </c>
      <c r="H15" s="28">
        <f t="shared" si="2"/>
        <v>-5.0083935853246922E-3</v>
      </c>
    </row>
    <row r="16" spans="1:8" x14ac:dyDescent="0.25">
      <c r="A16" t="s">
        <v>98</v>
      </c>
      <c r="B16" s="23">
        <v>0.98</v>
      </c>
      <c r="C16" s="23">
        <v>1</v>
      </c>
      <c r="D16" s="23">
        <v>0</v>
      </c>
      <c r="E16" s="25" t="s">
        <v>99</v>
      </c>
      <c r="F16" s="27">
        <f t="shared" si="0"/>
        <v>1.0084113570524802</v>
      </c>
      <c r="G16" s="27">
        <f t="shared" si="1"/>
        <v>1.0007299511099494</v>
      </c>
      <c r="H16" s="27">
        <f t="shared" si="2"/>
        <v>-8.999739428917148E-3</v>
      </c>
    </row>
    <row r="17" spans="1:12" x14ac:dyDescent="0.25">
      <c r="A17" t="s">
        <v>104</v>
      </c>
      <c r="B17" s="1">
        <v>0</v>
      </c>
      <c r="C17" s="1">
        <v>1</v>
      </c>
      <c r="D17" s="1">
        <v>0</v>
      </c>
      <c r="E17" s="16" t="s">
        <v>110</v>
      </c>
      <c r="F17" s="26">
        <f t="shared" si="0"/>
        <v>8.0038446878809445E-3</v>
      </c>
      <c r="G17" s="26">
        <f t="shared" si="1"/>
        <v>0.99570557587102682</v>
      </c>
      <c r="H17" s="26">
        <f t="shared" si="2"/>
        <v>-1.2903773623983834E-2</v>
      </c>
    </row>
    <row r="18" spans="1:12" x14ac:dyDescent="0.25">
      <c r="A18" t="s">
        <v>105</v>
      </c>
      <c r="B18" s="1">
        <v>0</v>
      </c>
      <c r="C18" s="1">
        <v>0</v>
      </c>
      <c r="D18" s="1">
        <v>0</v>
      </c>
      <c r="E18" s="16" t="s">
        <v>111</v>
      </c>
      <c r="F18" s="26">
        <f t="shared" si="0"/>
        <v>1.3012642585482487E-2</v>
      </c>
      <c r="G18" s="26">
        <f t="shared" si="1"/>
        <v>-4.7016700678666245E-3</v>
      </c>
      <c r="H18" s="26">
        <f t="shared" si="2"/>
        <v>-8.9124277803913788E-3</v>
      </c>
    </row>
    <row r="21" spans="1:12" ht="15" customHeight="1" x14ac:dyDescent="0.25">
      <c r="A21" t="s">
        <v>57</v>
      </c>
      <c r="B21" t="s">
        <v>17</v>
      </c>
      <c r="D21" s="61" t="s">
        <v>18</v>
      </c>
      <c r="E21" s="61"/>
      <c r="F21" s="61"/>
      <c r="H21" s="66" t="s">
        <v>268</v>
      </c>
      <c r="I21" s="66"/>
      <c r="J21" s="66"/>
      <c r="K21" s="4"/>
    </row>
    <row r="22" spans="1:12" x14ac:dyDescent="0.25">
      <c r="A22" t="s">
        <v>19</v>
      </c>
      <c r="B22" s="13">
        <f>H108*100</f>
        <v>0.72835147193409078</v>
      </c>
      <c r="C22" t="s">
        <v>210</v>
      </c>
      <c r="D22" t="s">
        <v>20</v>
      </c>
      <c r="E22" s="3">
        <f>(AVERAGE(B22:B27))</f>
        <v>2.9433103599191965</v>
      </c>
      <c r="F22" t="s">
        <v>210</v>
      </c>
      <c r="H22" s="66"/>
      <c r="I22" s="66"/>
      <c r="J22" s="66"/>
      <c r="K22" s="4"/>
    </row>
    <row r="23" spans="1:12" x14ac:dyDescent="0.25">
      <c r="A23" t="s">
        <v>22</v>
      </c>
      <c r="B23" s="13">
        <f t="shared" ref="B23:B29" si="3">H109*100</f>
        <v>6.6467066148187577</v>
      </c>
      <c r="C23" t="s">
        <v>210</v>
      </c>
      <c r="D23" t="s">
        <v>23</v>
      </c>
      <c r="E23">
        <f>E22*K50/100</f>
        <v>7.6502155850512192</v>
      </c>
      <c r="F23" t="s">
        <v>24</v>
      </c>
      <c r="H23" t="s">
        <v>56</v>
      </c>
      <c r="I23" s="4" t="s">
        <v>29</v>
      </c>
      <c r="J23" s="4" t="s">
        <v>30</v>
      </c>
    </row>
    <row r="24" spans="1:12" ht="15" customHeight="1" x14ac:dyDescent="0.25">
      <c r="A24" t="s">
        <v>25</v>
      </c>
      <c r="B24" s="13">
        <f t="shared" si="3"/>
        <v>1.5171982052131832</v>
      </c>
      <c r="C24" t="s">
        <v>210</v>
      </c>
      <c r="H24" s="9" t="s">
        <v>54</v>
      </c>
      <c r="I24" s="5">
        <v>0.94973610078288095</v>
      </c>
      <c r="J24">
        <f>DEGREES(I24)</f>
        <v>54.415870226070481</v>
      </c>
    </row>
    <row r="25" spans="1:12" x14ac:dyDescent="0.25">
      <c r="A25" t="s">
        <v>26</v>
      </c>
      <c r="B25" s="13">
        <f t="shared" si="3"/>
        <v>1.0665363110684056</v>
      </c>
      <c r="C25" t="s">
        <v>210</v>
      </c>
      <c r="D25" s="65" t="s">
        <v>207</v>
      </c>
      <c r="E25" s="65"/>
      <c r="F25" s="65"/>
      <c r="H25" s="9" t="s">
        <v>55</v>
      </c>
      <c r="I25" s="5">
        <v>5.5028456290956136</v>
      </c>
      <c r="J25">
        <f>DEGREES(I25)</f>
        <v>315.28982985919106</v>
      </c>
    </row>
    <row r="26" spans="1:12" x14ac:dyDescent="0.25">
      <c r="A26" t="s">
        <v>28</v>
      </c>
      <c r="B26" s="13">
        <f t="shared" si="3"/>
        <v>4.2616236109445618</v>
      </c>
      <c r="C26" t="s">
        <v>210</v>
      </c>
      <c r="D26" t="s">
        <v>20</v>
      </c>
      <c r="E26">
        <f>E27/K50*100</f>
        <v>1.4282580837574035</v>
      </c>
      <c r="F26" t="s">
        <v>210</v>
      </c>
      <c r="H26" s="9" t="s">
        <v>79</v>
      </c>
      <c r="I26" s="5">
        <v>6.2831094247901431</v>
      </c>
      <c r="J26">
        <f>DEGREES(I26)</f>
        <v>359.99565225934555</v>
      </c>
    </row>
    <row r="27" spans="1:12" x14ac:dyDescent="0.25">
      <c r="A27" t="s">
        <v>100</v>
      </c>
      <c r="B27" s="13">
        <f t="shared" si="3"/>
        <v>3.4394459455361766</v>
      </c>
      <c r="C27" t="s">
        <v>210</v>
      </c>
      <c r="D27" t="s">
        <v>23</v>
      </c>
      <c r="E27">
        <f>H49</f>
        <v>3.7123106012293743</v>
      </c>
      <c r="F27" t="s">
        <v>24</v>
      </c>
    </row>
    <row r="28" spans="1:12" x14ac:dyDescent="0.25">
      <c r="A28" t="s">
        <v>116</v>
      </c>
      <c r="B28" s="13">
        <f t="shared" si="3"/>
        <v>1.8213478211297773</v>
      </c>
      <c r="C28" t="s">
        <v>210</v>
      </c>
    </row>
    <row r="29" spans="1:12" ht="15" customHeight="1" x14ac:dyDescent="0.25">
      <c r="A29" t="s">
        <v>117</v>
      </c>
      <c r="B29" s="13">
        <f t="shared" si="3"/>
        <v>1.9063383069548974</v>
      </c>
      <c r="C29" t="s">
        <v>210</v>
      </c>
      <c r="E29" s="61" t="s">
        <v>274</v>
      </c>
      <c r="F29" s="61"/>
      <c r="H29" s="61" t="s">
        <v>235</v>
      </c>
      <c r="I29" s="61"/>
      <c r="J29" s="61"/>
      <c r="K29" s="4"/>
      <c r="L29" s="4"/>
    </row>
    <row r="30" spans="1:12" x14ac:dyDescent="0.25">
      <c r="E30" s="61"/>
      <c r="F30" s="61"/>
      <c r="H30" s="61"/>
      <c r="I30" s="61"/>
      <c r="J30" s="61"/>
      <c r="K30" s="4"/>
      <c r="L30" s="4"/>
    </row>
    <row r="31" spans="1:12" x14ac:dyDescent="0.25">
      <c r="H31" s="61"/>
      <c r="I31" s="61"/>
      <c r="J31" s="61"/>
      <c r="K31" s="4"/>
      <c r="L31" s="4"/>
    </row>
    <row r="32" spans="1:12" x14ac:dyDescent="0.25">
      <c r="D32" s="2" t="s">
        <v>14</v>
      </c>
      <c r="E32" s="71" t="s">
        <v>15</v>
      </c>
      <c r="F32" s="71"/>
      <c r="H32" s="61"/>
      <c r="I32" s="61"/>
      <c r="J32" s="61"/>
    </row>
    <row r="33" spans="1:13" x14ac:dyDescent="0.25">
      <c r="A33" s="61" t="s">
        <v>275</v>
      </c>
      <c r="B33" s="61"/>
      <c r="C33" s="61"/>
      <c r="D33" s="2"/>
      <c r="E33" s="72" t="s">
        <v>16</v>
      </c>
      <c r="F33" s="72"/>
      <c r="H33" s="61"/>
      <c r="I33" s="61"/>
      <c r="J33" s="61"/>
    </row>
    <row r="34" spans="1:13" x14ac:dyDescent="0.25">
      <c r="A34" s="61"/>
      <c r="B34" s="61"/>
      <c r="C34" s="61"/>
      <c r="D34" s="2"/>
      <c r="E34" s="73" t="s">
        <v>307</v>
      </c>
      <c r="F34" s="74"/>
    </row>
    <row r="36" spans="1:13" ht="15" customHeight="1" x14ac:dyDescent="0.25">
      <c r="A36" s="68" t="s">
        <v>83</v>
      </c>
      <c r="B36" s="7"/>
      <c r="C36" s="8" t="s">
        <v>31</v>
      </c>
      <c r="D36" s="8" t="s">
        <v>32</v>
      </c>
      <c r="E36" s="8" t="s">
        <v>33</v>
      </c>
      <c r="F36" s="8"/>
      <c r="G36" s="61" t="s">
        <v>95</v>
      </c>
      <c r="H36" s="61"/>
    </row>
    <row r="37" spans="1:13" ht="15" customHeight="1" x14ac:dyDescent="0.25">
      <c r="A37" s="68"/>
      <c r="B37" t="s">
        <v>82</v>
      </c>
      <c r="C37">
        <f t="shared" ref="C37:C45" si="4">B10*$G$37+C10*$H$37+D10*$I$37</f>
        <v>150</v>
      </c>
      <c r="D37">
        <f t="shared" ref="D37:D45" si="5">B10*$G$38+C10*$H$38+D10*$I$38</f>
        <v>150</v>
      </c>
      <c r="E37">
        <f t="shared" ref="E37:E45" si="6">B10*$G$39+C10*$H$39+D10*$I$39</f>
        <v>150</v>
      </c>
      <c r="G37">
        <f>B4</f>
        <v>300</v>
      </c>
      <c r="H37">
        <f>B5*(COS(M39))</f>
        <v>1.83772268236293E-14</v>
      </c>
      <c r="I37">
        <f>B6*(COS(M38))</f>
        <v>1.83772268236293E-14</v>
      </c>
      <c r="K37" t="s">
        <v>51</v>
      </c>
      <c r="L37">
        <f>D4</f>
        <v>90</v>
      </c>
      <c r="M37">
        <f>RADIANS(L37)</f>
        <v>1.5707963267948966</v>
      </c>
    </row>
    <row r="38" spans="1:13" x14ac:dyDescent="0.25">
      <c r="B38" t="str">
        <f t="shared" ref="B38:B45" si="7">A22</f>
        <v>P1</v>
      </c>
      <c r="C38">
        <f t="shared" si="4"/>
        <v>303</v>
      </c>
      <c r="D38">
        <f t="shared" si="5"/>
        <v>1.83772268236293E-14</v>
      </c>
      <c r="E38">
        <f t="shared" si="6"/>
        <v>300</v>
      </c>
      <c r="G38">
        <f>0</f>
        <v>0</v>
      </c>
      <c r="H38">
        <f>B5*(SIN(M39))</f>
        <v>300</v>
      </c>
      <c r="I38">
        <f>(B6*(COS(M37)-COS(M38)*COS(M39)))/(SIN(M39))</f>
        <v>1.83772268236293E-14</v>
      </c>
      <c r="K38" t="s">
        <v>93</v>
      </c>
      <c r="L38">
        <f>D5</f>
        <v>90</v>
      </c>
      <c r="M38">
        <f>RADIANS(L38)</f>
        <v>1.5707963267948966</v>
      </c>
    </row>
    <row r="39" spans="1:13" x14ac:dyDescent="0.25">
      <c r="B39" t="str">
        <f t="shared" si="7"/>
        <v>P2</v>
      </c>
      <c r="C39">
        <f t="shared" si="4"/>
        <v>309</v>
      </c>
      <c r="D39">
        <f t="shared" si="5"/>
        <v>300</v>
      </c>
      <c r="E39">
        <f t="shared" si="6"/>
        <v>282</v>
      </c>
      <c r="G39">
        <f>0</f>
        <v>0</v>
      </c>
      <c r="H39">
        <f>0</f>
        <v>0</v>
      </c>
      <c r="I39">
        <f>B6*(SQRT(1-POWER(COS(M38),2)-(POWER(COS(M37)-(COS(M38)*COS(M39)),2))/(POWER(SIN(M39),2))))</f>
        <v>300</v>
      </c>
      <c r="K39" t="s">
        <v>94</v>
      </c>
      <c r="L39">
        <f>D6</f>
        <v>90</v>
      </c>
      <c r="M39">
        <f>RADIANS(L39)</f>
        <v>1.5707963267948966</v>
      </c>
    </row>
    <row r="40" spans="1:13" x14ac:dyDescent="0.25">
      <c r="B40" t="str">
        <f t="shared" si="7"/>
        <v>P3</v>
      </c>
      <c r="C40">
        <f t="shared" si="4"/>
        <v>3.67544536472586E-14</v>
      </c>
      <c r="D40">
        <f t="shared" si="5"/>
        <v>300</v>
      </c>
      <c r="E40">
        <f t="shared" si="6"/>
        <v>300</v>
      </c>
      <c r="G40" s="65" t="s">
        <v>272</v>
      </c>
      <c r="H40" s="65"/>
    </row>
    <row r="41" spans="1:13" x14ac:dyDescent="0.25">
      <c r="B41" t="str">
        <f t="shared" si="7"/>
        <v>P4</v>
      </c>
      <c r="C41">
        <f t="shared" si="4"/>
        <v>1.8193454555393007E-14</v>
      </c>
      <c r="D41">
        <f t="shared" si="5"/>
        <v>1.8193454555393007E-14</v>
      </c>
      <c r="E41">
        <f t="shared" si="6"/>
        <v>297</v>
      </c>
      <c r="G41" s="6">
        <f>1/G37</f>
        <v>3.3333333333333335E-3</v>
      </c>
      <c r="H41">
        <f>-H37/(G37*H38)</f>
        <v>-2.0419140915143667E-19</v>
      </c>
      <c r="I41">
        <f>(H37*I38)/(G37*H38*I39)-I37/(G37*I39)</f>
        <v>-2.0419140915143664E-19</v>
      </c>
    </row>
    <row r="42" spans="1:13" x14ac:dyDescent="0.25">
      <c r="B42" t="str">
        <f t="shared" si="7"/>
        <v>P5</v>
      </c>
      <c r="C42">
        <f t="shared" si="4"/>
        <v>315</v>
      </c>
      <c r="D42">
        <f t="shared" si="5"/>
        <v>0</v>
      </c>
      <c r="E42">
        <f t="shared" si="6"/>
        <v>0</v>
      </c>
      <c r="G42" s="6">
        <f>0</f>
        <v>0</v>
      </c>
      <c r="H42" s="6">
        <f>1/H38</f>
        <v>3.3333333333333335E-3</v>
      </c>
      <c r="I42">
        <f>-I38/(H38*I39)</f>
        <v>-2.0419140915143667E-19</v>
      </c>
    </row>
    <row r="43" spans="1:13" x14ac:dyDescent="0.25">
      <c r="B43" t="str">
        <f t="shared" si="7"/>
        <v>P6</v>
      </c>
      <c r="C43">
        <f t="shared" si="4"/>
        <v>294</v>
      </c>
      <c r="D43">
        <f t="shared" si="5"/>
        <v>300</v>
      </c>
      <c r="E43">
        <f t="shared" si="6"/>
        <v>0</v>
      </c>
      <c r="G43" s="6">
        <f>0</f>
        <v>0</v>
      </c>
      <c r="H43">
        <f>0</f>
        <v>0</v>
      </c>
      <c r="I43" s="6">
        <f>1/I39</f>
        <v>3.3333333333333335E-3</v>
      </c>
    </row>
    <row r="44" spans="1:13" x14ac:dyDescent="0.25">
      <c r="B44" t="str">
        <f t="shared" si="7"/>
        <v>P7</v>
      </c>
      <c r="C44">
        <f t="shared" si="4"/>
        <v>1.83772268236293E-14</v>
      </c>
      <c r="D44">
        <f t="shared" si="5"/>
        <v>300</v>
      </c>
      <c r="E44">
        <f t="shared" si="6"/>
        <v>0</v>
      </c>
      <c r="G44" s="6"/>
      <c r="I44" s="6"/>
    </row>
    <row r="45" spans="1:13" x14ac:dyDescent="0.25">
      <c r="B45" t="str">
        <f t="shared" si="7"/>
        <v>P8</v>
      </c>
      <c r="C45">
        <f t="shared" si="4"/>
        <v>0</v>
      </c>
      <c r="D45">
        <f t="shared" si="5"/>
        <v>0</v>
      </c>
      <c r="E45">
        <f t="shared" si="6"/>
        <v>0</v>
      </c>
      <c r="G45" s="6"/>
      <c r="I45" s="6"/>
    </row>
    <row r="46" spans="1:13" x14ac:dyDescent="0.25">
      <c r="A46" t="s">
        <v>203</v>
      </c>
      <c r="B46" t="s">
        <v>204</v>
      </c>
      <c r="C46">
        <f>AVERAGE(C38:C45)</f>
        <v>152.625</v>
      </c>
      <c r="D46">
        <f>AVERAGE(D38:D45)</f>
        <v>150</v>
      </c>
      <c r="E46">
        <f>AVERAGE(E38:E45)</f>
        <v>147.375</v>
      </c>
      <c r="G46" s="6"/>
      <c r="I46" s="6"/>
    </row>
    <row r="47" spans="1:13" x14ac:dyDescent="0.25">
      <c r="G47" s="6"/>
    </row>
    <row r="48" spans="1:13" x14ac:dyDescent="0.25">
      <c r="A48" s="12" t="s">
        <v>84</v>
      </c>
      <c r="G48" s="6"/>
    </row>
    <row r="49" spans="1:11" x14ac:dyDescent="0.25">
      <c r="A49" s="30" t="s">
        <v>211</v>
      </c>
      <c r="B49" t="s">
        <v>208</v>
      </c>
      <c r="C49">
        <f t="shared" ref="C49:E57" si="8">C37-C$46</f>
        <v>-2.625</v>
      </c>
      <c r="D49">
        <f t="shared" si="8"/>
        <v>0</v>
      </c>
      <c r="E49">
        <f t="shared" si="8"/>
        <v>2.625</v>
      </c>
      <c r="G49" s="6" t="s">
        <v>209</v>
      </c>
      <c r="H49">
        <f t="shared" ref="H49:H55" si="9">SQRT(POWER(C49,2)+POWER(D49,2)+POWER(E49,2))</f>
        <v>3.7123106012293743</v>
      </c>
    </row>
    <row r="50" spans="1:11" x14ac:dyDescent="0.25">
      <c r="A50" s="4" t="s">
        <v>212</v>
      </c>
      <c r="B50" s="7" t="s">
        <v>36</v>
      </c>
      <c r="C50">
        <f t="shared" si="8"/>
        <v>150.375</v>
      </c>
      <c r="D50">
        <f t="shared" si="8"/>
        <v>-149.99999999999997</v>
      </c>
      <c r="E50">
        <f t="shared" si="8"/>
        <v>152.625</v>
      </c>
      <c r="G50" s="6" t="s">
        <v>37</v>
      </c>
      <c r="H50">
        <f t="shared" si="9"/>
        <v>261.54737859516007</v>
      </c>
      <c r="J50" s="6" t="s">
        <v>314</v>
      </c>
      <c r="K50">
        <f>AVERAGE(H50:H57)</f>
        <v>259.91875302138516</v>
      </c>
    </row>
    <row r="51" spans="1:11" x14ac:dyDescent="0.25">
      <c r="A51" s="4" t="s">
        <v>213</v>
      </c>
      <c r="B51" s="7" t="s">
        <v>39</v>
      </c>
      <c r="C51">
        <f t="shared" si="8"/>
        <v>156.375</v>
      </c>
      <c r="D51">
        <f t="shared" si="8"/>
        <v>150</v>
      </c>
      <c r="E51">
        <f t="shared" si="8"/>
        <v>134.625</v>
      </c>
      <c r="G51" s="6" t="s">
        <v>40</v>
      </c>
      <c r="H51">
        <f t="shared" si="9"/>
        <v>255.10200165816025</v>
      </c>
    </row>
    <row r="52" spans="1:11" x14ac:dyDescent="0.25">
      <c r="A52" s="4" t="s">
        <v>214</v>
      </c>
      <c r="B52" s="7" t="s">
        <v>42</v>
      </c>
      <c r="C52">
        <f t="shared" si="8"/>
        <v>-152.62499999999997</v>
      </c>
      <c r="D52">
        <f t="shared" si="8"/>
        <v>150</v>
      </c>
      <c r="E52">
        <f t="shared" si="8"/>
        <v>152.625</v>
      </c>
      <c r="G52" s="6" t="s">
        <v>43</v>
      </c>
      <c r="H52">
        <f t="shared" si="9"/>
        <v>262.84744862752615</v>
      </c>
    </row>
    <row r="53" spans="1:11" x14ac:dyDescent="0.25">
      <c r="A53" s="4" t="s">
        <v>215</v>
      </c>
      <c r="B53" s="7" t="s">
        <v>45</v>
      </c>
      <c r="C53">
        <f t="shared" si="8"/>
        <v>-152.62499999999997</v>
      </c>
      <c r="D53">
        <f t="shared" si="8"/>
        <v>-149.99999999999997</v>
      </c>
      <c r="E53">
        <f t="shared" si="8"/>
        <v>149.625</v>
      </c>
      <c r="G53" s="6" t="s">
        <v>46</v>
      </c>
      <c r="H53">
        <f t="shared" si="9"/>
        <v>261.11689192773412</v>
      </c>
    </row>
    <row r="54" spans="1:11" x14ac:dyDescent="0.25">
      <c r="A54" s="4" t="s">
        <v>216</v>
      </c>
      <c r="B54" s="7" t="s">
        <v>48</v>
      </c>
      <c r="C54">
        <f t="shared" si="8"/>
        <v>162.375</v>
      </c>
      <c r="D54">
        <f t="shared" si="8"/>
        <v>-150</v>
      </c>
      <c r="E54">
        <f t="shared" si="8"/>
        <v>-147.375</v>
      </c>
      <c r="G54" s="6" t="s">
        <v>49</v>
      </c>
      <c r="H54">
        <f t="shared" si="9"/>
        <v>265.67843580162844</v>
      </c>
    </row>
    <row r="55" spans="1:11" x14ac:dyDescent="0.25">
      <c r="A55" s="4" t="s">
        <v>217</v>
      </c>
      <c r="B55" s="7" t="s">
        <v>102</v>
      </c>
      <c r="C55">
        <f t="shared" si="8"/>
        <v>141.375</v>
      </c>
      <c r="D55">
        <f t="shared" si="8"/>
        <v>150</v>
      </c>
      <c r="E55">
        <f t="shared" si="8"/>
        <v>-147.375</v>
      </c>
      <c r="G55" s="6" t="s">
        <v>135</v>
      </c>
      <c r="H55">
        <f t="shared" si="9"/>
        <v>253.38958394140829</v>
      </c>
    </row>
    <row r="56" spans="1:11" x14ac:dyDescent="0.25">
      <c r="A56" s="4" t="s">
        <v>218</v>
      </c>
      <c r="B56" s="7" t="s">
        <v>122</v>
      </c>
      <c r="C56">
        <f t="shared" si="8"/>
        <v>-152.62499999999997</v>
      </c>
      <c r="D56">
        <f t="shared" si="8"/>
        <v>150</v>
      </c>
      <c r="E56">
        <f t="shared" si="8"/>
        <v>-147.375</v>
      </c>
      <c r="G56" s="6" t="s">
        <v>136</v>
      </c>
      <c r="H56">
        <f>SQRT(POWER(C56,2)+POWER(D56,2)+POWER(E56,2))</f>
        <v>259.83414180973216</v>
      </c>
    </row>
    <row r="57" spans="1:11" x14ac:dyDescent="0.25">
      <c r="A57" s="4" t="s">
        <v>219</v>
      </c>
      <c r="B57" s="7" t="s">
        <v>123</v>
      </c>
      <c r="C57">
        <f t="shared" si="8"/>
        <v>-152.625</v>
      </c>
      <c r="D57">
        <f t="shared" si="8"/>
        <v>-150</v>
      </c>
      <c r="E57">
        <f t="shared" si="8"/>
        <v>-147.375</v>
      </c>
      <c r="G57" s="6" t="s">
        <v>137</v>
      </c>
      <c r="H57">
        <f>SQRT(POWER(C57,2)+POWER(D57,2)+POWER(E57,2))</f>
        <v>259.83414180973216</v>
      </c>
    </row>
    <row r="59" spans="1:11" x14ac:dyDescent="0.25">
      <c r="A59" s="17" t="s">
        <v>157</v>
      </c>
      <c r="B59" s="7" t="str">
        <f t="shared" ref="B59:B64" si="10">B50</f>
        <v>vector P1</v>
      </c>
      <c r="C59">
        <f t="shared" ref="C59:E64" si="11">C50/$K$50</f>
        <v>0.57854617357150717</v>
      </c>
      <c r="D59">
        <f t="shared" si="11"/>
        <v>-0.57710341503392226</v>
      </c>
      <c r="E59">
        <f t="shared" si="11"/>
        <v>0.58720272479701596</v>
      </c>
      <c r="G59" s="6" t="str">
        <f>G50</f>
        <v>length of vector P1</v>
      </c>
      <c r="H59">
        <f t="shared" ref="H59:H64" si="12">SQRT(POWER(C59,2)+POWER(D59,2)+POWER(E59,2))</f>
        <v>1.0062659025362473</v>
      </c>
      <c r="J59" s="6" t="s">
        <v>314</v>
      </c>
      <c r="K59">
        <f>AVERAGE(H59:H66)</f>
        <v>1</v>
      </c>
    </row>
    <row r="60" spans="1:11" x14ac:dyDescent="0.25">
      <c r="A60" s="4"/>
      <c r="B60" s="7" t="str">
        <f t="shared" si="10"/>
        <v>vector P2</v>
      </c>
      <c r="C60">
        <f>C51/$K$50</f>
        <v>0.60163031017286406</v>
      </c>
      <c r="D60">
        <f t="shared" si="11"/>
        <v>0.57710341503392237</v>
      </c>
      <c r="E60">
        <f t="shared" si="11"/>
        <v>0.5179503149929453</v>
      </c>
      <c r="G60" s="6" t="str">
        <f t="shared" ref="G60:G66" si="13">G51</f>
        <v>length of vector P2</v>
      </c>
      <c r="H60">
        <f t="shared" si="12"/>
        <v>0.98146824225942408</v>
      </c>
    </row>
    <row r="61" spans="1:11" x14ac:dyDescent="0.25">
      <c r="A61" s="4"/>
      <c r="B61" s="7" t="str">
        <f t="shared" si="10"/>
        <v>vector P3</v>
      </c>
      <c r="C61">
        <f t="shared" si="11"/>
        <v>-0.58720272479701585</v>
      </c>
      <c r="D61">
        <f t="shared" si="11"/>
        <v>0.57710341503392237</v>
      </c>
      <c r="E61">
        <f t="shared" si="11"/>
        <v>0.58720272479701596</v>
      </c>
      <c r="G61" s="6" t="str">
        <f t="shared" si="13"/>
        <v>length of vector P3</v>
      </c>
      <c r="H61">
        <f t="shared" si="12"/>
        <v>1.011267734905992</v>
      </c>
    </row>
    <row r="62" spans="1:11" x14ac:dyDescent="0.25">
      <c r="A62" s="4"/>
      <c r="B62" s="7" t="str">
        <f t="shared" si="10"/>
        <v>vector P4</v>
      </c>
      <c r="C62">
        <f t="shared" si="11"/>
        <v>-0.58720272479701585</v>
      </c>
      <c r="D62">
        <f t="shared" si="11"/>
        <v>-0.57710341503392226</v>
      </c>
      <c r="E62">
        <f t="shared" si="11"/>
        <v>0.57566065649633757</v>
      </c>
      <c r="G62" s="6" t="str">
        <f t="shared" si="13"/>
        <v>length of vector P4</v>
      </c>
      <c r="H62">
        <f t="shared" si="12"/>
        <v>1.00460966703026</v>
      </c>
    </row>
    <row r="63" spans="1:11" x14ac:dyDescent="0.25">
      <c r="A63" s="4"/>
      <c r="B63" s="7" t="str">
        <f t="shared" si="10"/>
        <v>vector P5</v>
      </c>
      <c r="C63">
        <f t="shared" si="11"/>
        <v>0.62471444677422094</v>
      </c>
      <c r="D63">
        <f t="shared" si="11"/>
        <v>-0.57710341503392237</v>
      </c>
      <c r="E63">
        <f t="shared" si="11"/>
        <v>-0.56700410527082867</v>
      </c>
      <c r="G63" s="6" t="str">
        <f t="shared" si="13"/>
        <v>length of vector P5</v>
      </c>
      <c r="H63">
        <f t="shared" si="12"/>
        <v>1.0221595506799364</v>
      </c>
    </row>
    <row r="64" spans="1:11" x14ac:dyDescent="0.25">
      <c r="B64" s="7" t="str">
        <f t="shared" si="10"/>
        <v>vector P6</v>
      </c>
      <c r="C64">
        <f t="shared" si="11"/>
        <v>0.54391996866947179</v>
      </c>
      <c r="D64">
        <f t="shared" si="11"/>
        <v>0.57710341503392237</v>
      </c>
      <c r="E64">
        <f t="shared" si="11"/>
        <v>-0.56700410527082867</v>
      </c>
      <c r="G64" s="6" t="str">
        <f t="shared" si="13"/>
        <v>length of vector P6</v>
      </c>
      <c r="H64">
        <f t="shared" si="12"/>
        <v>0.97487996151074297</v>
      </c>
    </row>
    <row r="65" spans="1:12" x14ac:dyDescent="0.25">
      <c r="B65" s="7" t="str">
        <f>B56</f>
        <v>vector P7</v>
      </c>
      <c r="C65">
        <f t="shared" ref="C65:E66" si="14">C56/$K$50</f>
        <v>-0.58720272479701585</v>
      </c>
      <c r="D65">
        <f t="shared" si="14"/>
        <v>0.57710341503392237</v>
      </c>
      <c r="E65">
        <f t="shared" si="14"/>
        <v>-0.56700410527082867</v>
      </c>
      <c r="G65" s="6" t="str">
        <f t="shared" si="13"/>
        <v>length of vector P7</v>
      </c>
      <c r="H65">
        <f>SQRT(POWER(C65,2)+POWER(D65,2)+POWER(E65,2))</f>
        <v>0.99967447053869918</v>
      </c>
    </row>
    <row r="66" spans="1:12" x14ac:dyDescent="0.25">
      <c r="B66" s="7" t="str">
        <f>B57</f>
        <v>vector P8</v>
      </c>
      <c r="C66">
        <f t="shared" si="14"/>
        <v>-0.58720272479701596</v>
      </c>
      <c r="D66">
        <f t="shared" si="14"/>
        <v>-0.57710341503392237</v>
      </c>
      <c r="E66">
        <f t="shared" si="14"/>
        <v>-0.56700410527082867</v>
      </c>
      <c r="G66" s="6" t="str">
        <f t="shared" si="13"/>
        <v>length of vector P8</v>
      </c>
      <c r="H66">
        <f>SQRT(POWER(C66,2)+POWER(D66,2)+POWER(E66,2))</f>
        <v>0.99967447053869929</v>
      </c>
    </row>
    <row r="67" spans="1:12" x14ac:dyDescent="0.25">
      <c r="B67" s="7"/>
      <c r="G67" s="6"/>
    </row>
    <row r="68" spans="1:12" ht="15" customHeight="1" x14ac:dyDescent="0.25">
      <c r="A68" s="68" t="s">
        <v>178</v>
      </c>
      <c r="B68" s="66" t="s">
        <v>236</v>
      </c>
      <c r="C68">
        <f>ACOS(-1/3)/2</f>
        <v>0.95531661812450919</v>
      </c>
      <c r="D68">
        <f>DEGREES(C68)</f>
        <v>54.735610317245346</v>
      </c>
      <c r="G68" s="6"/>
    </row>
    <row r="69" spans="1:12" x14ac:dyDescent="0.25">
      <c r="A69" s="68"/>
      <c r="B69" s="66"/>
      <c r="G69" s="6"/>
    </row>
    <row r="70" spans="1:12" x14ac:dyDescent="0.25">
      <c r="B70" s="7" t="s">
        <v>179</v>
      </c>
      <c r="C70">
        <f>SIN($I$24-C68)*COS($I$25)</f>
        <v>-3.9659113918294204E-3</v>
      </c>
      <c r="D70">
        <f>SIN($I$24-C68)*SIN($I$25)</f>
        <v>3.9259899841165846E-3</v>
      </c>
      <c r="E70">
        <f>COS($I$24-C68)</f>
        <v>0.9999844289535097</v>
      </c>
      <c r="G70" s="6"/>
    </row>
    <row r="71" spans="1:12" x14ac:dyDescent="0.25">
      <c r="B71" s="7"/>
      <c r="G71" s="6"/>
    </row>
    <row r="72" spans="1:12" x14ac:dyDescent="0.25">
      <c r="A72" s="67" t="s">
        <v>180</v>
      </c>
      <c r="C72">
        <f>(C70^2)*(1-COS(PI()/2))+COS(PI()/2)</f>
        <v>1.5728453167903626E-5</v>
      </c>
      <c r="D72">
        <f>C70*D70*(1-COS(PI()/2))-E70*SIN(PI()/2)</f>
        <v>-0.99999999908191195</v>
      </c>
      <c r="E72">
        <f>C70*E70*(1-COS(PI()/2))+D70*SIN(PI()/2)</f>
        <v>-3.985965432217603E-5</v>
      </c>
      <c r="G72" s="6"/>
    </row>
    <row r="73" spans="1:12" x14ac:dyDescent="0.25">
      <c r="A73" s="68"/>
      <c r="B73" t="s">
        <v>389</v>
      </c>
      <c r="C73">
        <f>D70*C70*(1-COS(PI()/2))+E70*SIN(PI()/2)</f>
        <v>0.99996885882510744</v>
      </c>
      <c r="D73">
        <f>(D70^2)*(1-COS(PI()/2))+COS(PI()/2)</f>
        <v>1.5413397355444995E-5</v>
      </c>
      <c r="E73">
        <f>D70*E70*(1-COS(PI()/2))-C70*SIN(PI()/2)</f>
        <v>7.8918402441734408E-3</v>
      </c>
      <c r="G73" s="6"/>
    </row>
    <row r="74" spans="1:12" x14ac:dyDescent="0.25">
      <c r="C74">
        <f>E70*C70*(1-COS(PI()/2))-D70*SIN(PI()/2)</f>
        <v>-7.8918396225553453E-3</v>
      </c>
      <c r="D74">
        <f>D70*E70*(1-COS(PI()/2))+C70*SIN(PI()/2)</f>
        <v>-3.9982539485399968E-5</v>
      </c>
      <c r="E74">
        <f>(E70^2)*(1-COS(PI()/2))+COS(PI()/2)</f>
        <v>0.99996885814947689</v>
      </c>
      <c r="G74" s="6"/>
    </row>
    <row r="75" spans="1:12" x14ac:dyDescent="0.25">
      <c r="B75" s="7"/>
      <c r="G75" s="6"/>
    </row>
    <row r="76" spans="1:12" x14ac:dyDescent="0.25">
      <c r="A76" s="19" t="s">
        <v>176</v>
      </c>
      <c r="B76" s="7"/>
      <c r="C76" t="s">
        <v>63</v>
      </c>
      <c r="D76" t="s">
        <v>64</v>
      </c>
      <c r="E76" t="s">
        <v>65</v>
      </c>
      <c r="J76" t="s">
        <v>87</v>
      </c>
      <c r="K76" t="s">
        <v>88</v>
      </c>
    </row>
    <row r="77" spans="1:12" x14ac:dyDescent="0.25">
      <c r="B77" s="7" t="str">
        <f t="shared" ref="B77:B84" si="15">E11</f>
        <v>P1*</v>
      </c>
      <c r="C77">
        <f>SIN($I$24)*COS($I$25)</f>
        <v>0.57796463259146169</v>
      </c>
      <c r="D77">
        <f>SIN($I$24)*SIN($I$25)</f>
        <v>-0.5721467613730532</v>
      </c>
      <c r="E77">
        <f>COS($I$24)</f>
        <v>0.58189772892127989</v>
      </c>
      <c r="G77" s="6" t="s">
        <v>67</v>
      </c>
      <c r="H77">
        <f t="shared" ref="H77:H84" si="16">SQRT(POWER(C77,2)+POWER(D77,2)+POWER(E77,2))</f>
        <v>1</v>
      </c>
      <c r="I77" s="6"/>
      <c r="J77">
        <f t="shared" ref="J77:J84" si="17">ACOS((C77*C78+D77*D78+E77*E78)/(SQRT(C77^2+D77^2+E77^2)*SQRT(C78^2+D78^2+E78^2)))</f>
        <v>1.2309594173407743</v>
      </c>
      <c r="K77">
        <f t="shared" ref="K77:K84" si="18">DEGREES(J77)</f>
        <v>70.528779365509294</v>
      </c>
      <c r="L77" t="s">
        <v>81</v>
      </c>
    </row>
    <row r="78" spans="1:12" x14ac:dyDescent="0.25">
      <c r="B78" s="7" t="str">
        <f t="shared" si="15"/>
        <v>P2*</v>
      </c>
      <c r="C78">
        <f>C77*C$72+D77*D$72+E77*E$72</f>
        <v>0.57213265709510286</v>
      </c>
      <c r="D78">
        <f>C77*C$73+D77*D$73+E77*E$73</f>
        <v>0.58253005928347179</v>
      </c>
      <c r="E78">
        <f>C77*C$74+D77*D$74+E77*E$74</f>
        <v>0.57734127924174317</v>
      </c>
      <c r="G78" s="6" t="s">
        <v>68</v>
      </c>
      <c r="H78">
        <f t="shared" si="16"/>
        <v>1</v>
      </c>
      <c r="J78">
        <f t="shared" si="17"/>
        <v>1.2309594173407743</v>
      </c>
      <c r="K78">
        <f t="shared" si="18"/>
        <v>70.528779365509294</v>
      </c>
      <c r="L78" t="s">
        <v>89</v>
      </c>
    </row>
    <row r="79" spans="1:12" x14ac:dyDescent="0.25">
      <c r="B79" s="7" t="str">
        <f t="shared" si="15"/>
        <v>P3*</v>
      </c>
      <c r="C79">
        <f>C78*C$72+D78*D$72+E78*E$72</f>
        <v>-0.58254407261077157</v>
      </c>
      <c r="D79">
        <f>C78*C$73+D78*D$73+E78*E$73</f>
        <v>0.57668010412138437</v>
      </c>
      <c r="E79">
        <f>C78*C$74+D78*D$74+E78*E$74</f>
        <v>0.57278482956220644</v>
      </c>
      <c r="G79" s="6" t="s">
        <v>69</v>
      </c>
      <c r="H79">
        <f t="shared" si="16"/>
        <v>1.0000000000000002</v>
      </c>
      <c r="J79">
        <f t="shared" si="17"/>
        <v>1.2309594173407743</v>
      </c>
      <c r="K79">
        <f t="shared" si="18"/>
        <v>70.528779365509294</v>
      </c>
      <c r="L79" t="s">
        <v>90</v>
      </c>
    </row>
    <row r="80" spans="1:12" x14ac:dyDescent="0.25">
      <c r="B80" s="7" t="str">
        <f t="shared" si="15"/>
        <v>P4*</v>
      </c>
      <c r="C80">
        <f>C79*C$72+D79*D$72+E79*E$72</f>
        <v>-0.57671209711441285</v>
      </c>
      <c r="D80">
        <f>C79*C$73+D79*D$73+E79*E$73</f>
        <v>-0.57799671653514084</v>
      </c>
      <c r="E80">
        <f>C79*C$74+D79*D$74+E79*E$74</f>
        <v>0.57734127924174328</v>
      </c>
      <c r="G80" s="6" t="s">
        <v>70</v>
      </c>
      <c r="H80">
        <f t="shared" si="16"/>
        <v>1.0000000000000002</v>
      </c>
      <c r="J80">
        <f t="shared" si="17"/>
        <v>1.910633236249019</v>
      </c>
      <c r="K80">
        <f t="shared" si="18"/>
        <v>109.47122063449072</v>
      </c>
      <c r="L80" t="s">
        <v>91</v>
      </c>
    </row>
    <row r="81" spans="1:12" x14ac:dyDescent="0.25">
      <c r="B81" s="7" t="str">
        <f t="shared" si="15"/>
        <v>P5*</v>
      </c>
      <c r="C81">
        <f>SIN($I$24+PI()-ACOS(-1/3))*COS($I$25)</f>
        <v>0.58254407261077146</v>
      </c>
      <c r="D81">
        <f>SIN($I$24+PI()-ACOS(-1/3))*SIN($I$25)</f>
        <v>-0.57668010412138404</v>
      </c>
      <c r="E81">
        <f>COS($I$24+PI()-ACOS(-1/3))</f>
        <v>-0.57278482956220644</v>
      </c>
      <c r="G81" s="6" t="s">
        <v>71</v>
      </c>
      <c r="H81">
        <f t="shared" si="16"/>
        <v>1</v>
      </c>
      <c r="J81">
        <f t="shared" si="17"/>
        <v>1.2309594173407743</v>
      </c>
      <c r="K81">
        <f t="shared" si="18"/>
        <v>70.528779365509294</v>
      </c>
      <c r="L81" t="s">
        <v>149</v>
      </c>
    </row>
    <row r="82" spans="1:12" x14ac:dyDescent="0.25">
      <c r="B82" s="7" t="str">
        <f t="shared" si="15"/>
        <v>P6*</v>
      </c>
      <c r="C82">
        <f>C81*C$72+D81*D$72+E81*E$72</f>
        <v>0.57671209711441251</v>
      </c>
      <c r="D82">
        <f>C81*C$73+D81*D$73+E81*E$73</f>
        <v>0.57799671653514073</v>
      </c>
      <c r="E82">
        <f>C81*C$74+D81*D$74+E81*E$74</f>
        <v>-0.57734127924174328</v>
      </c>
      <c r="G82" s="6" t="s">
        <v>142</v>
      </c>
      <c r="H82">
        <f t="shared" si="16"/>
        <v>1</v>
      </c>
      <c r="J82">
        <f t="shared" si="17"/>
        <v>1.2309594173407741</v>
      </c>
      <c r="K82">
        <f t="shared" si="18"/>
        <v>70.52877936550928</v>
      </c>
      <c r="L82" t="s">
        <v>150</v>
      </c>
    </row>
    <row r="83" spans="1:12" x14ac:dyDescent="0.25">
      <c r="B83" s="7" t="str">
        <f t="shared" si="15"/>
        <v>P7*</v>
      </c>
      <c r="C83">
        <f>C82*C$72+D82*D$72+E82*E$72</f>
        <v>-0.57796463259146147</v>
      </c>
      <c r="D83">
        <f>C82*C$73+D82*D$73+E82*E$73</f>
        <v>0.5721467613730532</v>
      </c>
      <c r="E83">
        <f>C82*C$74+D82*D$74+E82*E$74</f>
        <v>-0.58189772892128011</v>
      </c>
      <c r="G83" s="6" t="s">
        <v>143</v>
      </c>
      <c r="H83">
        <f t="shared" si="16"/>
        <v>1</v>
      </c>
      <c r="J83">
        <f t="shared" si="17"/>
        <v>1.2309594173407741</v>
      </c>
      <c r="K83">
        <f t="shared" si="18"/>
        <v>70.52877936550928</v>
      </c>
      <c r="L83" t="s">
        <v>151</v>
      </c>
    </row>
    <row r="84" spans="1:12" x14ac:dyDescent="0.25">
      <c r="B84" s="7" t="str">
        <f t="shared" si="15"/>
        <v>P8*</v>
      </c>
      <c r="C84">
        <f>C83*C$72+D83*D$72+E83*E$72</f>
        <v>-0.57213265709510286</v>
      </c>
      <c r="D84">
        <f>C83*C$73+D83*D$73+E83*E$73</f>
        <v>-0.58253005928347157</v>
      </c>
      <c r="E84">
        <f>C83*C$74+D83*D$74+E83*E$74</f>
        <v>-0.57734127924174339</v>
      </c>
      <c r="G84" s="6" t="s">
        <v>144</v>
      </c>
      <c r="H84">
        <f t="shared" si="16"/>
        <v>1</v>
      </c>
      <c r="J84" t="e">
        <f t="shared" si="17"/>
        <v>#DIV/0!</v>
      </c>
      <c r="K84" t="e">
        <f t="shared" si="18"/>
        <v>#DIV/0!</v>
      </c>
      <c r="L84" t="s">
        <v>168</v>
      </c>
    </row>
    <row r="86" spans="1:12" x14ac:dyDescent="0.25">
      <c r="A86" s="12" t="s">
        <v>86</v>
      </c>
      <c r="B86" s="7" t="s">
        <v>73</v>
      </c>
      <c r="C86">
        <f t="shared" ref="C86:E93" si="19">C77-C59</f>
        <v>-5.8154098004548072E-4</v>
      </c>
      <c r="D86">
        <f t="shared" si="19"/>
        <v>4.9566536608690592E-3</v>
      </c>
      <c r="E86">
        <f t="shared" si="19"/>
        <v>-5.3049958757360738E-3</v>
      </c>
      <c r="G86" s="6" t="s">
        <v>78</v>
      </c>
      <c r="H86">
        <f t="shared" ref="H86:H91" si="20">SQRT(POWER(C86,2)+POWER(D86,2)+POWER(E86,2))</f>
        <v>7.2835147193409076E-3</v>
      </c>
    </row>
    <row r="87" spans="1:12" x14ac:dyDescent="0.25">
      <c r="B87" s="7" t="s">
        <v>74</v>
      </c>
      <c r="C87">
        <f t="shared" si="19"/>
        <v>-2.9497653077761199E-2</v>
      </c>
      <c r="D87">
        <f t="shared" si="19"/>
        <v>5.4266442495494172E-3</v>
      </c>
      <c r="E87">
        <f t="shared" si="19"/>
        <v>5.9390964248797862E-2</v>
      </c>
      <c r="G87" s="6" t="s">
        <v>78</v>
      </c>
      <c r="H87">
        <f t="shared" si="20"/>
        <v>6.6534552221451881E-2</v>
      </c>
    </row>
    <row r="88" spans="1:12" x14ac:dyDescent="0.25">
      <c r="B88" s="7" t="s">
        <v>75</v>
      </c>
      <c r="C88">
        <f t="shared" si="19"/>
        <v>4.6586521862442831E-3</v>
      </c>
      <c r="D88">
        <f t="shared" si="19"/>
        <v>-4.2331091253799968E-4</v>
      </c>
      <c r="E88">
        <f t="shared" si="19"/>
        <v>-1.4417895234809519E-2</v>
      </c>
      <c r="G88" s="6" t="s">
        <v>78</v>
      </c>
      <c r="H88">
        <f t="shared" si="20"/>
        <v>1.5157768151116953E-2</v>
      </c>
    </row>
    <row r="89" spans="1:12" x14ac:dyDescent="0.25">
      <c r="B89" s="7" t="s">
        <v>76</v>
      </c>
      <c r="C89">
        <f t="shared" si="19"/>
        <v>1.0490627682603004E-2</v>
      </c>
      <c r="D89">
        <f t="shared" si="19"/>
        <v>-8.9330150121857965E-4</v>
      </c>
      <c r="E89">
        <f t="shared" si="19"/>
        <v>1.6806227454057021E-3</v>
      </c>
      <c r="G89" s="6" t="s">
        <v>78</v>
      </c>
      <c r="H89">
        <f t="shared" si="20"/>
        <v>1.066188302127963E-2</v>
      </c>
    </row>
    <row r="90" spans="1:12" x14ac:dyDescent="0.25">
      <c r="B90" s="7" t="s">
        <v>77</v>
      </c>
      <c r="C90">
        <f t="shared" si="19"/>
        <v>-4.2170374163449487E-2</v>
      </c>
      <c r="D90">
        <f t="shared" si="19"/>
        <v>4.2331091253833275E-4</v>
      </c>
      <c r="E90">
        <f t="shared" si="19"/>
        <v>-5.7807242913777701E-3</v>
      </c>
      <c r="G90" s="6" t="s">
        <v>78</v>
      </c>
      <c r="H90">
        <f t="shared" si="20"/>
        <v>4.2566846518704279E-2</v>
      </c>
    </row>
    <row r="91" spans="1:12" x14ac:dyDescent="0.25">
      <c r="B91" s="7" t="s">
        <v>103</v>
      </c>
      <c r="C91">
        <f t="shared" si="19"/>
        <v>3.2792128444940727E-2</v>
      </c>
      <c r="D91">
        <f t="shared" si="19"/>
        <v>8.9330150121835761E-4</v>
      </c>
      <c r="E91">
        <f t="shared" si="19"/>
        <v>-1.0337173970914604E-2</v>
      </c>
      <c r="G91" s="6" t="s">
        <v>78</v>
      </c>
      <c r="H91">
        <f t="shared" si="20"/>
        <v>3.4394459455361764E-2</v>
      </c>
    </row>
    <row r="92" spans="1:12" x14ac:dyDescent="0.25">
      <c r="B92" s="7" t="s">
        <v>170</v>
      </c>
      <c r="C92">
        <f t="shared" si="19"/>
        <v>9.2380922055543824E-3</v>
      </c>
      <c r="D92">
        <f t="shared" si="19"/>
        <v>-4.9566536608691703E-3</v>
      </c>
      <c r="E92">
        <f t="shared" si="19"/>
        <v>-1.4893623650451437E-2</v>
      </c>
      <c r="G92" s="6" t="s">
        <v>78</v>
      </c>
      <c r="H92">
        <f>SQRT(POWER(C92,2)+POWER(D92,2)+POWER(E92,2))</f>
        <v>1.8213478211297773E-2</v>
      </c>
    </row>
    <row r="93" spans="1:12" x14ac:dyDescent="0.25">
      <c r="B93" s="7" t="s">
        <v>171</v>
      </c>
      <c r="C93">
        <f t="shared" si="19"/>
        <v>1.5070067701913104E-2</v>
      </c>
      <c r="D93">
        <f t="shared" si="19"/>
        <v>-5.4266442495491951E-3</v>
      </c>
      <c r="E93">
        <f t="shared" si="19"/>
        <v>-1.0337173970914715E-2</v>
      </c>
      <c r="G93" s="6" t="s">
        <v>78</v>
      </c>
      <c r="H93">
        <f>SQRT(POWER(C93,2)+POWER(D93,2)+POWER(E93,2))</f>
        <v>1.9063383069548974E-2</v>
      </c>
    </row>
    <row r="95" spans="1:12" x14ac:dyDescent="0.25">
      <c r="A95" s="67" t="s">
        <v>162</v>
      </c>
      <c r="C95">
        <f>(C77^2)*(1-COS($I$26))+COS($I$26)</f>
        <v>0.99999999808266449</v>
      </c>
      <c r="D95">
        <f>C77*D77*(1-COS($I$26))-E77*SIN($I$26)</f>
        <v>4.4154837987745009E-5</v>
      </c>
      <c r="E95">
        <f>C77*E77*(1-COS($I$26))+D77*SIN($I$26)</f>
        <v>4.341683160130099E-5</v>
      </c>
    </row>
    <row r="96" spans="1:12" x14ac:dyDescent="0.25">
      <c r="A96" s="68"/>
      <c r="B96" t="s">
        <v>237</v>
      </c>
      <c r="C96">
        <f>D77*C77*(1-COS($I$26))+E77*SIN($I$26)</f>
        <v>-4.4156742091927048E-5</v>
      </c>
      <c r="D96">
        <f>(D77^2)*(1-COS($I$26))+COS($I$26)</f>
        <v>0.99999999806340012</v>
      </c>
      <c r="E96">
        <f>D77*E77*(1-COS($I$26))-C77*SIN($I$26)</f>
        <v>4.3856378761822011E-5</v>
      </c>
    </row>
    <row r="97" spans="1:12" x14ac:dyDescent="0.25">
      <c r="C97">
        <f>E77*C77*(1-COS($I$26))-D77*SIN($I$26)</f>
        <v>-4.3414895045903043E-5</v>
      </c>
      <c r="D97">
        <f>D77*E77*(1-COS($I$26))+C77*SIN($I$26)</f>
        <v>-4.3858295823587854E-5</v>
      </c>
      <c r="E97">
        <f>(E77^2)*(1-COS($I$26))+COS($I$26)</f>
        <v>0.99999999809579831</v>
      </c>
    </row>
    <row r="98" spans="1:12" ht="15" customHeight="1" x14ac:dyDescent="0.25">
      <c r="J98" t="s">
        <v>87</v>
      </c>
      <c r="K98" t="s">
        <v>88</v>
      </c>
    </row>
    <row r="99" spans="1:12" ht="15" customHeight="1" x14ac:dyDescent="0.25">
      <c r="A99" s="19" t="s">
        <v>238</v>
      </c>
      <c r="B99" t="str">
        <f t="shared" ref="B99:B104" si="21">B77</f>
        <v>P1*</v>
      </c>
      <c r="C99">
        <f>C77*$C$95+D77*$D$95+E77*$E$95</f>
        <v>0.57796463259146169</v>
      </c>
      <c r="D99">
        <f>C77*$C$96+D77*$D$96+E77*$E$96</f>
        <v>-0.5721467613730532</v>
      </c>
      <c r="E99">
        <f>C77*$C$97+D77*$D$97+E77*$E$97</f>
        <v>0.58189772892127989</v>
      </c>
      <c r="G99" t="str">
        <f>G77</f>
        <v>length of vector P1*</v>
      </c>
      <c r="H99">
        <f>H77</f>
        <v>1</v>
      </c>
      <c r="J99">
        <f t="shared" ref="J99:J106" si="22">ACOS((C99*C100+D99*D100+E99*E100)/(SQRT(C99^2+D99^2+E99^2)*SQRT(C100^2+D100^2+E100^2)))</f>
        <v>1.2309594173407745</v>
      </c>
      <c r="K99">
        <f t="shared" ref="K99:K106" si="23">DEGREES(J99)</f>
        <v>70.528779365509308</v>
      </c>
      <c r="L99" t="str">
        <f>L77</f>
        <v>P1 P2</v>
      </c>
    </row>
    <row r="100" spans="1:12" ht="15" customHeight="1" x14ac:dyDescent="0.25">
      <c r="B100" t="str">
        <f t="shared" si="21"/>
        <v>P2*</v>
      </c>
      <c r="C100">
        <f t="shared" ref="C100:C106" si="24">C78*$C$95+D78*$D$95+E78*$E$95</f>
        <v>0.57218344384762043</v>
      </c>
      <c r="D100">
        <f t="shared" ref="D100:D106" si="25">C78*$C$96+D78*$D$96+E78*$E$96</f>
        <v>0.58253011473897975</v>
      </c>
      <c r="E100">
        <f t="shared" ref="E100:E106" si="26">C78*$C$97+D78*$D$97+E78*$E$97</f>
        <v>0.57729089028744263</v>
      </c>
      <c r="G100" t="str">
        <f t="shared" ref="G100:G106" si="27">G78</f>
        <v>length of vector P2*</v>
      </c>
      <c r="H100">
        <f>SQRT(POWER(C100,2)+POWER(D100,2)+POWER(E100,2))</f>
        <v>1</v>
      </c>
      <c r="J100">
        <f t="shared" si="22"/>
        <v>1.2309594173407743</v>
      </c>
      <c r="K100">
        <f t="shared" si="23"/>
        <v>70.528779365509294</v>
      </c>
      <c r="L100" t="str">
        <f t="shared" ref="L100:L106" si="28">L78</f>
        <v>P2 P3</v>
      </c>
    </row>
    <row r="101" spans="1:12" ht="15" customHeight="1" x14ac:dyDescent="0.25">
      <c r="B101" t="str">
        <f t="shared" si="21"/>
        <v>P3*</v>
      </c>
      <c r="C101">
        <f t="shared" si="24"/>
        <v>-0.58249373977478203</v>
      </c>
      <c r="D101">
        <f t="shared" si="25"/>
        <v>0.57673094652139145</v>
      </c>
      <c r="E101">
        <f t="shared" si="26"/>
        <v>0.57278482735467851</v>
      </c>
      <c r="G101" t="str">
        <f t="shared" si="27"/>
        <v>length of vector P3*</v>
      </c>
      <c r="H101">
        <f>SQRT(POWER(C101,2)+POWER(D101,2)+POWER(E101,2))</f>
        <v>1.0000000000000002</v>
      </c>
      <c r="J101">
        <f t="shared" si="22"/>
        <v>1.2309594173407743</v>
      </c>
      <c r="K101">
        <f t="shared" si="23"/>
        <v>70.528779365509294</v>
      </c>
      <c r="L101" t="str">
        <f t="shared" si="28"/>
        <v>P3 P4</v>
      </c>
    </row>
    <row r="102" spans="1:12" ht="15" customHeight="1" x14ac:dyDescent="0.25">
      <c r="B102" t="str">
        <f t="shared" si="21"/>
        <v>P4*</v>
      </c>
      <c r="C102">
        <f>C80*$C$95+D80*$D$95+E80*$E$95</f>
        <v>-0.57671255103094099</v>
      </c>
      <c r="D102">
        <f>C80*$C$96+D80*$D$96+E80*$E$96</f>
        <v>-0.57794592959064162</v>
      </c>
      <c r="E102">
        <f>C80*$C$97+D80*$D$97+E80*$E$97</f>
        <v>0.57739166598851577</v>
      </c>
      <c r="G102" t="str">
        <f t="shared" si="27"/>
        <v>length of vector P4*</v>
      </c>
      <c r="H102">
        <f>SQRT(POWER(C102,2)+POWER(D102,2)+POWER(E102,2))</f>
        <v>1</v>
      </c>
      <c r="J102">
        <f t="shared" si="22"/>
        <v>1.910633236249019</v>
      </c>
      <c r="K102">
        <f t="shared" si="23"/>
        <v>109.47122063449072</v>
      </c>
      <c r="L102" t="str">
        <f t="shared" si="28"/>
        <v>P4 P5</v>
      </c>
    </row>
    <row r="103" spans="1:12" ht="15" customHeight="1" x14ac:dyDescent="0.25">
      <c r="B103" t="str">
        <f t="shared" si="21"/>
        <v>P5*</v>
      </c>
      <c r="C103">
        <f t="shared" si="24"/>
        <v>0.58249373977478192</v>
      </c>
      <c r="D103">
        <f t="shared" si="25"/>
        <v>-0.57673094652139112</v>
      </c>
      <c r="E103">
        <f t="shared" si="26"/>
        <v>-0.57278482735467851</v>
      </c>
      <c r="G103" t="str">
        <f t="shared" si="27"/>
        <v>length of vector P5*</v>
      </c>
      <c r="H103">
        <f>SQRT(POWER(C103,2)+POWER(D103,2)+POWER(E103,2))</f>
        <v>1</v>
      </c>
      <c r="J103">
        <f t="shared" si="22"/>
        <v>1.2309594173407743</v>
      </c>
      <c r="K103">
        <f t="shared" si="23"/>
        <v>70.528779365509294</v>
      </c>
      <c r="L103" t="str">
        <f t="shared" si="28"/>
        <v>P5 P6</v>
      </c>
    </row>
    <row r="104" spans="1:12" ht="15" customHeight="1" x14ac:dyDescent="0.25">
      <c r="B104" t="str">
        <f t="shared" si="21"/>
        <v>P6*</v>
      </c>
      <c r="C104">
        <f t="shared" si="24"/>
        <v>0.57671255103094066</v>
      </c>
      <c r="D104">
        <f t="shared" si="25"/>
        <v>0.57794592959064151</v>
      </c>
      <c r="E104">
        <f t="shared" si="26"/>
        <v>-0.57739166598851577</v>
      </c>
      <c r="F104" s="7"/>
      <c r="G104" t="str">
        <f t="shared" si="27"/>
        <v>length of vector P6*</v>
      </c>
      <c r="H104" s="7">
        <f>H82</f>
        <v>1</v>
      </c>
      <c r="J104">
        <f t="shared" si="22"/>
        <v>1.2309594173407741</v>
      </c>
      <c r="K104">
        <f t="shared" si="23"/>
        <v>70.52877936550928</v>
      </c>
      <c r="L104" t="str">
        <f t="shared" si="28"/>
        <v>P6 P7</v>
      </c>
    </row>
    <row r="105" spans="1:12" ht="15" customHeight="1" x14ac:dyDescent="0.25">
      <c r="B105" t="str">
        <f>B83</f>
        <v>P7*</v>
      </c>
      <c r="C105">
        <f t="shared" si="24"/>
        <v>-0.57796463259146147</v>
      </c>
      <c r="D105">
        <f>C83*$C$96+D83*$D$96+E83*$E$96</f>
        <v>0.5721467613730532</v>
      </c>
      <c r="E105">
        <f>C83*$C$97+D83*$D$97+E83*$E$97</f>
        <v>-0.58189772892128011</v>
      </c>
      <c r="F105" s="7"/>
      <c r="G105" t="str">
        <f t="shared" si="27"/>
        <v>length of vector P7*</v>
      </c>
      <c r="H105" s="7">
        <f>H83</f>
        <v>1</v>
      </c>
      <c r="J105">
        <f t="shared" si="22"/>
        <v>1.2309594173407743</v>
      </c>
      <c r="K105">
        <f t="shared" si="23"/>
        <v>70.528779365509294</v>
      </c>
      <c r="L105" t="str">
        <f t="shared" si="28"/>
        <v>P7 P8</v>
      </c>
    </row>
    <row r="106" spans="1:12" ht="15" customHeight="1" x14ac:dyDescent="0.25">
      <c r="B106" t="str">
        <f>B84</f>
        <v>P8*</v>
      </c>
      <c r="C106">
        <f t="shared" si="24"/>
        <v>-0.57218344384762043</v>
      </c>
      <c r="D106">
        <f t="shared" si="25"/>
        <v>-0.58253011473897953</v>
      </c>
      <c r="E106">
        <f t="shared" si="26"/>
        <v>-0.57729089028744285</v>
      </c>
      <c r="F106" s="7"/>
      <c r="G106" t="str">
        <f t="shared" si="27"/>
        <v>length of vector P8*</v>
      </c>
      <c r="H106">
        <f>H84</f>
        <v>1</v>
      </c>
      <c r="J106" t="e">
        <f t="shared" si="22"/>
        <v>#DIV/0!</v>
      </c>
      <c r="K106" t="e">
        <f t="shared" si="23"/>
        <v>#DIV/0!</v>
      </c>
      <c r="L106" t="str">
        <f t="shared" si="28"/>
        <v>P8 P1</v>
      </c>
    </row>
    <row r="107" spans="1:12" ht="15" customHeight="1" x14ac:dyDescent="0.25">
      <c r="B107" s="7"/>
      <c r="C107" s="7"/>
      <c r="D107" s="7"/>
      <c r="E107" s="7"/>
      <c r="G107" s="6"/>
    </row>
    <row r="108" spans="1:12" ht="15" customHeight="1" x14ac:dyDescent="0.25">
      <c r="A108" s="12" t="s">
        <v>86</v>
      </c>
      <c r="B108" t="str">
        <f>B86</f>
        <v>P1*-P1</v>
      </c>
      <c r="C108">
        <f>C86</f>
        <v>-5.8154098004548072E-4</v>
      </c>
      <c r="D108">
        <f>D86</f>
        <v>4.9566536608690592E-3</v>
      </c>
      <c r="E108">
        <f>E86</f>
        <v>-5.3049958757360738E-3</v>
      </c>
      <c r="G108" s="6" t="s">
        <v>78</v>
      </c>
      <c r="H108">
        <f t="shared" ref="H108:H113" si="29">SQRT(POWER(C108,2)+POWER(D108,2)+POWER(E108,2))</f>
        <v>7.2835147193409076E-3</v>
      </c>
    </row>
    <row r="109" spans="1:12" ht="15" customHeight="1" x14ac:dyDescent="0.25">
      <c r="B109" t="str">
        <f t="shared" ref="B109:B115" si="30">B87</f>
        <v>P2*-P2</v>
      </c>
      <c r="C109">
        <f t="shared" ref="C109:E112" si="31">C100-C60</f>
        <v>-2.9446866325243626E-2</v>
      </c>
      <c r="D109">
        <f t="shared" si="31"/>
        <v>5.4266997050573806E-3</v>
      </c>
      <c r="E109">
        <f t="shared" si="31"/>
        <v>5.9340575294497322E-2</v>
      </c>
      <c r="G109" s="6" t="s">
        <v>78</v>
      </c>
      <c r="H109">
        <f t="shared" si="29"/>
        <v>6.6467066148187579E-2</v>
      </c>
    </row>
    <row r="110" spans="1:12" x14ac:dyDescent="0.25">
      <c r="B110" t="str">
        <f t="shared" si="30"/>
        <v>P3*-P3</v>
      </c>
      <c r="C110">
        <f t="shared" si="31"/>
        <v>4.7089850222338248E-3</v>
      </c>
      <c r="D110">
        <f t="shared" si="31"/>
        <v>-3.7246851253092128E-4</v>
      </c>
      <c r="E110">
        <f t="shared" si="31"/>
        <v>-1.4417897442337457E-2</v>
      </c>
      <c r="G110" s="6" t="s">
        <v>78</v>
      </c>
      <c r="H110">
        <f t="shared" si="29"/>
        <v>1.5171982052131832E-2</v>
      </c>
    </row>
    <row r="111" spans="1:12" x14ac:dyDescent="0.25">
      <c r="B111" t="str">
        <f t="shared" si="30"/>
        <v>P4*-P4</v>
      </c>
      <c r="C111">
        <f t="shared" si="31"/>
        <v>1.0490173766074862E-2</v>
      </c>
      <c r="D111">
        <f t="shared" si="31"/>
        <v>-8.4251455671935371E-4</v>
      </c>
      <c r="E111">
        <f t="shared" si="31"/>
        <v>1.7310094921781927E-3</v>
      </c>
      <c r="G111" s="6" t="s">
        <v>78</v>
      </c>
      <c r="H111">
        <f t="shared" si="29"/>
        <v>1.0665363110684056E-2</v>
      </c>
    </row>
    <row r="112" spans="1:12" x14ac:dyDescent="0.25">
      <c r="B112" t="str">
        <f t="shared" si="30"/>
        <v>P5*-P5</v>
      </c>
      <c r="C112">
        <f t="shared" si="31"/>
        <v>-4.2220706999439028E-2</v>
      </c>
      <c r="D112">
        <f t="shared" si="31"/>
        <v>3.7246851253125435E-4</v>
      </c>
      <c r="E112">
        <f t="shared" si="31"/>
        <v>-5.7807220838498319E-3</v>
      </c>
      <c r="G112" s="6" t="s">
        <v>78</v>
      </c>
      <c r="H112">
        <f t="shared" si="29"/>
        <v>4.2616236109445614E-2</v>
      </c>
    </row>
    <row r="113" spans="1:8" x14ac:dyDescent="0.25">
      <c r="B113" t="str">
        <f t="shared" si="30"/>
        <v>P6*-P6</v>
      </c>
      <c r="C113">
        <f t="shared" ref="C113:E115" si="32">C91</f>
        <v>3.2792128444940727E-2</v>
      </c>
      <c r="D113">
        <f t="shared" si="32"/>
        <v>8.9330150121835761E-4</v>
      </c>
      <c r="E113">
        <f t="shared" si="32"/>
        <v>-1.0337173970914604E-2</v>
      </c>
      <c r="G113" s="6" t="s">
        <v>78</v>
      </c>
      <c r="H113">
        <f t="shared" si="29"/>
        <v>3.4394459455361764E-2</v>
      </c>
    </row>
    <row r="114" spans="1:8" x14ac:dyDescent="0.25">
      <c r="B114" t="str">
        <f t="shared" si="30"/>
        <v>P7*-P7</v>
      </c>
      <c r="C114">
        <f t="shared" si="32"/>
        <v>9.2380922055543824E-3</v>
      </c>
      <c r="D114">
        <f t="shared" si="32"/>
        <v>-4.9566536608691703E-3</v>
      </c>
      <c r="E114">
        <f t="shared" si="32"/>
        <v>-1.4893623650451437E-2</v>
      </c>
      <c r="G114" s="6" t="s">
        <v>78</v>
      </c>
      <c r="H114">
        <f>SQRT(POWER(C114,2)+POWER(D114,2)+POWER(E114,2))</f>
        <v>1.8213478211297773E-2</v>
      </c>
    </row>
    <row r="115" spans="1:8" x14ac:dyDescent="0.25">
      <c r="B115" t="str">
        <f t="shared" si="30"/>
        <v>P8*-P8</v>
      </c>
      <c r="C115">
        <f t="shared" si="32"/>
        <v>1.5070067701913104E-2</v>
      </c>
      <c r="D115">
        <f t="shared" si="32"/>
        <v>-5.4266442495491951E-3</v>
      </c>
      <c r="E115">
        <f t="shared" si="32"/>
        <v>-1.0337173970914715E-2</v>
      </c>
      <c r="G115" s="6" t="s">
        <v>78</v>
      </c>
      <c r="H115">
        <f>SQRT(POWER(C115,2)+POWER(D115,2)+POWER(E115,2))</f>
        <v>1.9063383069548974E-2</v>
      </c>
    </row>
    <row r="116" spans="1:8" x14ac:dyDescent="0.25">
      <c r="B116" s="7"/>
      <c r="G116" s="6"/>
    </row>
    <row r="117" spans="1:8" x14ac:dyDescent="0.25">
      <c r="A117" s="19" t="s">
        <v>229</v>
      </c>
      <c r="B117" s="7" t="s">
        <v>204</v>
      </c>
      <c r="C117">
        <v>0</v>
      </c>
      <c r="D117">
        <v>0</v>
      </c>
      <c r="E117">
        <v>0</v>
      </c>
    </row>
    <row r="118" spans="1:8" x14ac:dyDescent="0.25">
      <c r="B118" t="str">
        <f t="shared" ref="B118:B125" si="33">B99</f>
        <v>P1*</v>
      </c>
      <c r="C118">
        <f t="shared" ref="C118:E122" si="34">C99*$K$50</f>
        <v>150.22384659363576</v>
      </c>
      <c r="D118">
        <f t="shared" si="34"/>
        <v>-148.71167276130799</v>
      </c>
      <c r="E118">
        <f t="shared" si="34"/>
        <v>151.24613208719506</v>
      </c>
    </row>
    <row r="119" spans="1:8" x14ac:dyDescent="0.25">
      <c r="B119" t="str">
        <f t="shared" si="33"/>
        <v>P2*</v>
      </c>
      <c r="C119">
        <f t="shared" si="34"/>
        <v>148.72120722435525</v>
      </c>
      <c r="D119">
        <f t="shared" si="34"/>
        <v>151.41050102036004</v>
      </c>
      <c r="E119">
        <f t="shared" si="34"/>
        <v>150.04872833411736</v>
      </c>
    </row>
    <row r="120" spans="1:8" x14ac:dyDescent="0.25">
      <c r="B120" t="str">
        <f t="shared" si="33"/>
        <v>P3*</v>
      </c>
      <c r="C120">
        <f t="shared" si="34"/>
        <v>-151.40104648502458</v>
      </c>
      <c r="D120">
        <f t="shared" si="34"/>
        <v>149.90318844868324</v>
      </c>
      <c r="E120">
        <f t="shared" si="34"/>
        <v>148.87751807559741</v>
      </c>
    </row>
    <row r="121" spans="1:8" x14ac:dyDescent="0.25">
      <c r="B121" t="str">
        <f t="shared" si="33"/>
        <v>P4*</v>
      </c>
      <c r="C121">
        <f t="shared" si="34"/>
        <v>-149.89840711574413</v>
      </c>
      <c r="D121">
        <f t="shared" si="34"/>
        <v>-150.21898533298483</v>
      </c>
      <c r="E121">
        <f t="shared" si="34"/>
        <v>150.07492182867514</v>
      </c>
    </row>
    <row r="122" spans="1:8" x14ac:dyDescent="0.25">
      <c r="B122" t="str">
        <f t="shared" si="33"/>
        <v>P5*</v>
      </c>
      <c r="C122">
        <f t="shared" si="34"/>
        <v>151.40104648502452</v>
      </c>
      <c r="D122">
        <f t="shared" si="34"/>
        <v>-149.90318844868315</v>
      </c>
      <c r="E122">
        <f t="shared" si="34"/>
        <v>-148.87751807559741</v>
      </c>
    </row>
    <row r="123" spans="1:8" x14ac:dyDescent="0.25">
      <c r="B123" t="str">
        <f t="shared" si="33"/>
        <v>P6*</v>
      </c>
      <c r="C123">
        <f t="shared" ref="C123:E125" si="35">C104*$K$50</f>
        <v>149.89840711574405</v>
      </c>
      <c r="D123">
        <f t="shared" si="35"/>
        <v>150.2189853329848</v>
      </c>
      <c r="E123">
        <f t="shared" si="35"/>
        <v>-150.07492182867514</v>
      </c>
    </row>
    <row r="124" spans="1:8" x14ac:dyDescent="0.25">
      <c r="B124" t="str">
        <f t="shared" si="33"/>
        <v>P7*</v>
      </c>
      <c r="C124">
        <f t="shared" si="35"/>
        <v>-150.2238465936357</v>
      </c>
      <c r="D124">
        <f t="shared" si="35"/>
        <v>148.71167276130799</v>
      </c>
      <c r="E124">
        <f t="shared" si="35"/>
        <v>-151.24613208719515</v>
      </c>
    </row>
    <row r="125" spans="1:8" x14ac:dyDescent="0.25">
      <c r="B125" t="str">
        <f t="shared" si="33"/>
        <v>P8*</v>
      </c>
      <c r="C125">
        <f t="shared" si="35"/>
        <v>-148.72120722435525</v>
      </c>
      <c r="D125">
        <f t="shared" si="35"/>
        <v>-151.41050102035999</v>
      </c>
      <c r="E125">
        <f t="shared" si="35"/>
        <v>-150.04872833411741</v>
      </c>
    </row>
    <row r="127" spans="1:8" x14ac:dyDescent="0.25">
      <c r="A127" s="19" t="s">
        <v>230</v>
      </c>
      <c r="B127" t="s">
        <v>204</v>
      </c>
      <c r="C127">
        <f>C117+$C$46</f>
        <v>152.625</v>
      </c>
      <c r="D127">
        <f>D117+$D$46</f>
        <v>150</v>
      </c>
      <c r="E127">
        <f>E117+$E$46</f>
        <v>147.375</v>
      </c>
    </row>
    <row r="128" spans="1:8" x14ac:dyDescent="0.25">
      <c r="B128" t="str">
        <f t="shared" ref="B128:B135" si="36">B118</f>
        <v>P1*</v>
      </c>
      <c r="C128">
        <f t="shared" ref="C128:C135" si="37">C118+$C$46</f>
        <v>302.84884659363576</v>
      </c>
      <c r="D128">
        <f t="shared" ref="D128:D135" si="38">D118+$D$46</f>
        <v>1.2883272386920055</v>
      </c>
      <c r="E128">
        <f t="shared" ref="E128:E135" si="39">E118+$E$46</f>
        <v>298.62113208719506</v>
      </c>
    </row>
    <row r="129" spans="2:5" x14ac:dyDescent="0.25">
      <c r="B129" t="str">
        <f t="shared" si="36"/>
        <v>P2*</v>
      </c>
      <c r="C129">
        <f t="shared" si="37"/>
        <v>301.34620722435523</v>
      </c>
      <c r="D129">
        <f t="shared" si="38"/>
        <v>301.41050102036002</v>
      </c>
      <c r="E129">
        <f t="shared" si="39"/>
        <v>297.42372833411736</v>
      </c>
    </row>
    <row r="130" spans="2:5" x14ac:dyDescent="0.25">
      <c r="B130" t="str">
        <f t="shared" si="36"/>
        <v>P3*</v>
      </c>
      <c r="C130">
        <f t="shared" si="37"/>
        <v>1.2239535149754204</v>
      </c>
      <c r="D130">
        <f t="shared" si="38"/>
        <v>299.90318844868324</v>
      </c>
      <c r="E130">
        <f t="shared" si="39"/>
        <v>296.25251807559744</v>
      </c>
    </row>
    <row r="131" spans="2:5" x14ac:dyDescent="0.25">
      <c r="B131" t="str">
        <f t="shared" si="36"/>
        <v>P4*</v>
      </c>
      <c r="C131">
        <f t="shared" si="37"/>
        <v>2.7265928842558651</v>
      </c>
      <c r="D131">
        <f t="shared" si="38"/>
        <v>-0.21898533298482903</v>
      </c>
      <c r="E131">
        <f t="shared" si="39"/>
        <v>297.44992182867514</v>
      </c>
    </row>
    <row r="132" spans="2:5" x14ac:dyDescent="0.25">
      <c r="B132" t="str">
        <f t="shared" si="36"/>
        <v>P5*</v>
      </c>
      <c r="C132">
        <f t="shared" si="37"/>
        <v>304.02604648502449</v>
      </c>
      <c r="D132">
        <f t="shared" si="38"/>
        <v>9.6811551316847044E-2</v>
      </c>
      <c r="E132">
        <f t="shared" si="39"/>
        <v>-1.5025180755974077</v>
      </c>
    </row>
    <row r="133" spans="2:5" x14ac:dyDescent="0.25">
      <c r="B133" t="str">
        <f t="shared" si="36"/>
        <v>P6*</v>
      </c>
      <c r="C133">
        <f t="shared" si="37"/>
        <v>302.52340711574402</v>
      </c>
      <c r="D133">
        <f t="shared" si="38"/>
        <v>300.2189853329848</v>
      </c>
      <c r="E133">
        <f t="shared" si="39"/>
        <v>-2.6999218286751443</v>
      </c>
    </row>
    <row r="134" spans="2:5" x14ac:dyDescent="0.25">
      <c r="B134" t="str">
        <f t="shared" si="36"/>
        <v>P7*</v>
      </c>
      <c r="C134">
        <f t="shared" si="37"/>
        <v>2.4011534063643012</v>
      </c>
      <c r="D134">
        <f t="shared" si="38"/>
        <v>298.71167276130802</v>
      </c>
      <c r="E134">
        <f t="shared" si="39"/>
        <v>-3.87113208719515</v>
      </c>
    </row>
    <row r="135" spans="2:5" x14ac:dyDescent="0.25">
      <c r="B135" t="str">
        <f t="shared" si="36"/>
        <v>P8*</v>
      </c>
      <c r="C135">
        <f t="shared" si="37"/>
        <v>3.9037927756447459</v>
      </c>
      <c r="D135">
        <f t="shared" si="38"/>
        <v>-1.4105010203599875</v>
      </c>
      <c r="E135">
        <f t="shared" si="39"/>
        <v>-2.6737283341174134</v>
      </c>
    </row>
  </sheetData>
  <mergeCells count="20">
    <mergeCell ref="B2:D2"/>
    <mergeCell ref="E32:F32"/>
    <mergeCell ref="E33:F33"/>
    <mergeCell ref="E34:F34"/>
    <mergeCell ref="D21:F21"/>
    <mergeCell ref="F3:G5"/>
    <mergeCell ref="B8:D8"/>
    <mergeCell ref="E8:H8"/>
    <mergeCell ref="H29:J33"/>
    <mergeCell ref="A95:A96"/>
    <mergeCell ref="A68:A69"/>
    <mergeCell ref="B68:B69"/>
    <mergeCell ref="A72:A73"/>
    <mergeCell ref="H21:J22"/>
    <mergeCell ref="D25:F25"/>
    <mergeCell ref="A36:A37"/>
    <mergeCell ref="G36:H36"/>
    <mergeCell ref="G40:H40"/>
    <mergeCell ref="E29:F30"/>
    <mergeCell ref="A33:C34"/>
  </mergeCell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8"/>
  <sheetViews>
    <sheetView workbookViewId="0">
      <selection activeCell="J64" sqref="J64"/>
    </sheetView>
  </sheetViews>
  <sheetFormatPr baseColWidth="10" defaultRowHeight="15" x14ac:dyDescent="0.25"/>
  <cols>
    <col min="1" max="1" width="26.7109375" customWidth="1"/>
    <col min="2" max="12" width="13.7109375" customWidth="1"/>
    <col min="13" max="13" width="12" bestFit="1" customWidth="1"/>
  </cols>
  <sheetData>
    <row r="1" spans="1:8" x14ac:dyDescent="0.25">
      <c r="A1" t="s">
        <v>0</v>
      </c>
    </row>
    <row r="2" spans="1:8" x14ac:dyDescent="0.25">
      <c r="A2" s="29"/>
      <c r="B2" s="69" t="s">
        <v>134</v>
      </c>
      <c r="C2" s="70"/>
      <c r="D2" s="70"/>
    </row>
    <row r="3" spans="1:8" ht="15" customHeight="1" x14ac:dyDescent="0.25">
      <c r="A3" t="s">
        <v>1</v>
      </c>
      <c r="F3" s="75" t="s">
        <v>315</v>
      </c>
      <c r="G3" s="76"/>
    </row>
    <row r="4" spans="1:8" x14ac:dyDescent="0.25">
      <c r="A4" t="s">
        <v>2</v>
      </c>
      <c r="B4" s="1">
        <v>671.16</v>
      </c>
      <c r="C4" s="43" t="s">
        <v>51</v>
      </c>
      <c r="D4" s="1">
        <v>90</v>
      </c>
      <c r="F4" s="76"/>
      <c r="G4" s="76"/>
    </row>
    <row r="5" spans="1:8" ht="15" customHeight="1" x14ac:dyDescent="0.25">
      <c r="A5" t="s">
        <v>3</v>
      </c>
      <c r="B5" s="1">
        <v>952.15</v>
      </c>
      <c r="C5" s="43" t="s">
        <v>52</v>
      </c>
      <c r="D5" s="1">
        <v>90</v>
      </c>
      <c r="F5" s="76"/>
      <c r="G5" s="76"/>
    </row>
    <row r="6" spans="1:8" x14ac:dyDescent="0.25">
      <c r="A6" t="s">
        <v>4</v>
      </c>
      <c r="B6" s="1">
        <v>671.88</v>
      </c>
      <c r="C6" s="43" t="s">
        <v>53</v>
      </c>
      <c r="D6" s="1">
        <v>90</v>
      </c>
    </row>
    <row r="8" spans="1:8" x14ac:dyDescent="0.25">
      <c r="B8" s="79" t="s">
        <v>278</v>
      </c>
      <c r="C8" s="79"/>
      <c r="D8" s="79"/>
      <c r="E8" s="80" t="s">
        <v>97</v>
      </c>
      <c r="F8" s="80"/>
      <c r="G8" s="80"/>
      <c r="H8" s="80"/>
    </row>
    <row r="9" spans="1:8" x14ac:dyDescent="0.25">
      <c r="A9" t="s">
        <v>5</v>
      </c>
      <c r="B9" s="38" t="s">
        <v>6</v>
      </c>
      <c r="C9" s="38" t="s">
        <v>7</v>
      </c>
      <c r="D9" s="38" t="s">
        <v>8</v>
      </c>
      <c r="E9" s="39"/>
      <c r="F9" s="39" t="s">
        <v>6</v>
      </c>
      <c r="G9" s="39" t="s">
        <v>7</v>
      </c>
      <c r="H9" s="39" t="s">
        <v>8</v>
      </c>
    </row>
    <row r="10" spans="1:8" x14ac:dyDescent="0.25">
      <c r="A10" t="s">
        <v>96</v>
      </c>
      <c r="B10" s="1">
        <v>0.5</v>
      </c>
      <c r="C10" s="1">
        <v>0</v>
      </c>
      <c r="D10" s="1">
        <v>0</v>
      </c>
      <c r="E10" s="14" t="s">
        <v>82</v>
      </c>
      <c r="F10" s="12">
        <f t="shared" ref="F10:F16" si="0">C102*$G$39+D102*$H$39+E102*$I$39</f>
        <v>0.5</v>
      </c>
      <c r="G10" s="12">
        <f t="shared" ref="G10:G16" si="1">C102*$G$40+D102*$H$40+E102*$I$40</f>
        <v>3.7166666666666663E-3</v>
      </c>
      <c r="H10" s="12">
        <f t="shared" ref="H10:H16" si="2">C102*$G$41+D102*$H$41+E102*$I$41</f>
        <v>2.8499999999999992E-3</v>
      </c>
    </row>
    <row r="11" spans="1:8" x14ac:dyDescent="0.25">
      <c r="A11" t="s">
        <v>9</v>
      </c>
      <c r="B11" s="1">
        <v>0.49230000000000002</v>
      </c>
      <c r="C11" s="1">
        <v>0.25</v>
      </c>
      <c r="D11" s="1">
        <v>0.05</v>
      </c>
      <c r="E11" s="15" t="s">
        <v>58</v>
      </c>
      <c r="F11" s="28">
        <f t="shared" si="0"/>
        <v>0.49601750776347636</v>
      </c>
      <c r="G11" s="28">
        <f t="shared" si="1"/>
        <v>0.25411714369243432</v>
      </c>
      <c r="H11" s="28">
        <f t="shared" si="2"/>
        <v>4.4777085540532842E-2</v>
      </c>
    </row>
    <row r="12" spans="1:8" x14ac:dyDescent="0.25">
      <c r="A12" t="s">
        <v>10</v>
      </c>
      <c r="B12" s="1">
        <v>0.72199999999999998</v>
      </c>
      <c r="C12" s="1">
        <v>-1.77E-2</v>
      </c>
      <c r="D12" s="1">
        <v>0.28189999999999998</v>
      </c>
      <c r="E12" s="15" t="s">
        <v>59</v>
      </c>
      <c r="F12" s="28">
        <f t="shared" si="0"/>
        <v>0.72165570417897029</v>
      </c>
      <c r="G12" s="28">
        <f t="shared" si="1"/>
        <v>-1.7778144642457489E-2</v>
      </c>
      <c r="H12" s="28">
        <f t="shared" si="2"/>
        <v>0.28167011336075887</v>
      </c>
    </row>
    <row r="13" spans="1:8" x14ac:dyDescent="0.25">
      <c r="A13" t="s">
        <v>11</v>
      </c>
      <c r="B13" s="22">
        <v>0.77800000000000002</v>
      </c>
      <c r="C13" s="23">
        <v>1.77E-2</v>
      </c>
      <c r="D13" s="23">
        <v>-0.21809999999999999</v>
      </c>
      <c r="E13" s="24" t="s">
        <v>60</v>
      </c>
      <c r="F13" s="27">
        <f t="shared" si="0"/>
        <v>0.78075177339816915</v>
      </c>
      <c r="G13" s="27">
        <f t="shared" si="1"/>
        <v>2.423894306391533E-2</v>
      </c>
      <c r="H13" s="27">
        <f t="shared" si="2"/>
        <v>-0.2166859036473891</v>
      </c>
    </row>
    <row r="14" spans="1:8" x14ac:dyDescent="0.25">
      <c r="A14" t="s">
        <v>12</v>
      </c>
      <c r="B14" s="1">
        <v>0.27800000000000002</v>
      </c>
      <c r="C14" s="1">
        <v>0.04</v>
      </c>
      <c r="D14" s="1">
        <v>-0.28189999999999998</v>
      </c>
      <c r="E14" s="15" t="s">
        <v>61</v>
      </c>
      <c r="F14" s="28">
        <f t="shared" si="0"/>
        <v>0.27834429582102965</v>
      </c>
      <c r="G14" s="28">
        <f t="shared" si="1"/>
        <v>2.5211477975790857E-2</v>
      </c>
      <c r="H14" s="28">
        <f t="shared" si="2"/>
        <v>-0.27597011336075888</v>
      </c>
    </row>
    <row r="15" spans="1:8" x14ac:dyDescent="0.25">
      <c r="A15" t="s">
        <v>13</v>
      </c>
      <c r="B15" s="1">
        <v>0.222</v>
      </c>
      <c r="C15" s="1">
        <v>-1.77E-2</v>
      </c>
      <c r="D15" s="1">
        <v>0.21809999999999999</v>
      </c>
      <c r="E15" s="15" t="s">
        <v>62</v>
      </c>
      <c r="F15" s="28">
        <f t="shared" si="0"/>
        <v>0.21924822660183071</v>
      </c>
      <c r="G15" s="28">
        <f t="shared" si="1"/>
        <v>-1.6805609730581997E-2</v>
      </c>
      <c r="H15" s="28">
        <f t="shared" si="2"/>
        <v>0.22238590364738914</v>
      </c>
    </row>
    <row r="16" spans="1:8" x14ac:dyDescent="0.25">
      <c r="A16" t="s">
        <v>98</v>
      </c>
      <c r="B16" s="1">
        <v>0.50770000000000004</v>
      </c>
      <c r="C16" s="1">
        <v>-0.25</v>
      </c>
      <c r="D16" s="1">
        <v>-3.2899999999999999E-2</v>
      </c>
      <c r="E16" s="16" t="s">
        <v>99</v>
      </c>
      <c r="F16" s="28">
        <f t="shared" si="0"/>
        <v>0.5039824922365238</v>
      </c>
      <c r="G16" s="28">
        <f t="shared" si="1"/>
        <v>-0.24668381035910103</v>
      </c>
      <c r="H16" s="28">
        <f t="shared" si="2"/>
        <v>-3.9077085540532887E-2</v>
      </c>
    </row>
    <row r="19" spans="1:12" ht="15" customHeight="1" x14ac:dyDescent="0.25">
      <c r="A19" t="s">
        <v>57</v>
      </c>
      <c r="B19" t="s">
        <v>17</v>
      </c>
      <c r="D19" s="61" t="s">
        <v>18</v>
      </c>
      <c r="E19" s="61"/>
      <c r="F19" s="61"/>
      <c r="H19" s="66" t="s">
        <v>27</v>
      </c>
      <c r="I19" s="66"/>
      <c r="J19" s="66"/>
    </row>
    <row r="20" spans="1:12" x14ac:dyDescent="0.25">
      <c r="A20" t="s">
        <v>19</v>
      </c>
      <c r="B20" s="13">
        <f t="shared" ref="B20:B25" si="3">H87*100</f>
        <v>2.4253076918750502</v>
      </c>
      <c r="C20" t="s">
        <v>210</v>
      </c>
      <c r="D20" t="s">
        <v>20</v>
      </c>
      <c r="E20" s="3">
        <f>(AVERAGE(B20:B25))</f>
        <v>2.5417977671952969</v>
      </c>
      <c r="F20" t="s">
        <v>210</v>
      </c>
      <c r="H20" s="66"/>
      <c r="I20" s="66"/>
      <c r="J20" s="66"/>
    </row>
    <row r="21" spans="1:12" x14ac:dyDescent="0.25">
      <c r="A21" t="s">
        <v>22</v>
      </c>
      <c r="B21" s="13">
        <f t="shared" si="3"/>
        <v>0.11984236719638193</v>
      </c>
      <c r="C21" t="s">
        <v>210</v>
      </c>
      <c r="D21" t="s">
        <v>23</v>
      </c>
      <c r="E21">
        <f>E20*K46/100</f>
        <v>6.1026559569079071</v>
      </c>
      <c r="F21" t="s">
        <v>24</v>
      </c>
      <c r="H21" t="s">
        <v>56</v>
      </c>
      <c r="I21" s="4" t="s">
        <v>29</v>
      </c>
      <c r="J21" s="4" t="s">
        <v>30</v>
      </c>
    </row>
    <row r="22" spans="1:12" x14ac:dyDescent="0.25">
      <c r="A22" t="s">
        <v>25</v>
      </c>
      <c r="B22" s="13">
        <f t="shared" si="3"/>
        <v>2.7336753904112321</v>
      </c>
      <c r="C22" t="s">
        <v>210</v>
      </c>
      <c r="H22" s="9" t="s">
        <v>54</v>
      </c>
      <c r="I22" s="5">
        <v>1.4531956013735359</v>
      </c>
      <c r="J22">
        <f>DEGREES(I22)</f>
        <v>83.261974765679184</v>
      </c>
    </row>
    <row r="23" spans="1:12" x14ac:dyDescent="0.25">
      <c r="A23" t="s">
        <v>26</v>
      </c>
      <c r="B23" s="13">
        <f t="shared" si="3"/>
        <v>6.0957948604602548</v>
      </c>
      <c r="C23" t="s">
        <v>210</v>
      </c>
      <c r="D23" s="65" t="s">
        <v>207</v>
      </c>
      <c r="E23" s="65"/>
      <c r="F23" s="65"/>
      <c r="H23" s="9" t="s">
        <v>55</v>
      </c>
      <c r="I23" s="5">
        <v>1.5820067571747862</v>
      </c>
      <c r="J23">
        <f>DEGREES(I23)</f>
        <v>90.64231034729292</v>
      </c>
    </row>
    <row r="24" spans="1:12" ht="15" customHeight="1" x14ac:dyDescent="0.25">
      <c r="A24" t="s">
        <v>28</v>
      </c>
      <c r="B24" s="13">
        <f t="shared" si="3"/>
        <v>1.4683474357943993</v>
      </c>
      <c r="C24" t="s">
        <v>210</v>
      </c>
      <c r="D24" t="s">
        <v>20</v>
      </c>
      <c r="E24">
        <f>E25/K46*100</f>
        <v>1.6758878919084219</v>
      </c>
      <c r="F24" t="s">
        <v>210</v>
      </c>
      <c r="H24" s="9" t="s">
        <v>79</v>
      </c>
      <c r="I24" s="5">
        <v>3.8085876927383659</v>
      </c>
      <c r="J24">
        <f>DEGREES(I24)</f>
        <v>218.21600069937634</v>
      </c>
    </row>
    <row r="25" spans="1:12" x14ac:dyDescent="0.25">
      <c r="A25" t="s">
        <v>100</v>
      </c>
      <c r="B25" s="13">
        <f t="shared" si="3"/>
        <v>2.4078188574344614</v>
      </c>
      <c r="C25" t="s">
        <v>210</v>
      </c>
      <c r="D25" t="s">
        <v>23</v>
      </c>
      <c r="E25">
        <f>H45</f>
        <v>4.0236746442459816</v>
      </c>
      <c r="F25" t="s">
        <v>24</v>
      </c>
    </row>
    <row r="26" spans="1:12" ht="15" customHeight="1" x14ac:dyDescent="0.25"/>
    <row r="27" spans="1:12" ht="15" customHeight="1" x14ac:dyDescent="0.25">
      <c r="E27" s="61" t="s">
        <v>274</v>
      </c>
      <c r="F27" s="61"/>
      <c r="H27" s="61" t="s">
        <v>235</v>
      </c>
      <c r="I27" s="61"/>
      <c r="J27" s="61"/>
      <c r="K27" s="4"/>
      <c r="L27" s="4"/>
    </row>
    <row r="28" spans="1:12" x14ac:dyDescent="0.25">
      <c r="E28" s="61"/>
      <c r="F28" s="61"/>
      <c r="H28" s="61"/>
      <c r="I28" s="61"/>
      <c r="J28" s="61"/>
      <c r="K28" s="4"/>
      <c r="L28" s="4"/>
    </row>
    <row r="29" spans="1:12" x14ac:dyDescent="0.25">
      <c r="A29" s="61" t="s">
        <v>275</v>
      </c>
      <c r="B29" s="61"/>
      <c r="C29" s="61"/>
      <c r="H29" s="61"/>
      <c r="I29" s="61"/>
      <c r="J29" s="61"/>
      <c r="K29" s="4"/>
      <c r="L29" s="4"/>
    </row>
    <row r="30" spans="1:12" x14ac:dyDescent="0.25">
      <c r="A30" s="61"/>
      <c r="B30" s="61"/>
      <c r="C30" s="61"/>
      <c r="D30" s="2" t="s">
        <v>14</v>
      </c>
      <c r="E30" s="71" t="s">
        <v>15</v>
      </c>
      <c r="F30" s="71"/>
      <c r="H30" s="61"/>
      <c r="I30" s="61"/>
      <c r="J30" s="61"/>
    </row>
    <row r="31" spans="1:12" x14ac:dyDescent="0.25">
      <c r="D31" s="2"/>
      <c r="E31" s="72" t="s">
        <v>16</v>
      </c>
      <c r="F31" s="72"/>
      <c r="H31" s="61"/>
      <c r="I31" s="61"/>
      <c r="J31" s="61"/>
    </row>
    <row r="32" spans="1:12" x14ac:dyDescent="0.25">
      <c r="D32" s="2"/>
      <c r="E32" s="73" t="s">
        <v>307</v>
      </c>
      <c r="F32" s="74"/>
      <c r="H32" s="4"/>
      <c r="I32" s="4"/>
      <c r="J32" s="4"/>
      <c r="K32" s="4"/>
      <c r="L32" s="4"/>
    </row>
    <row r="34" spans="1:13" ht="15" customHeight="1" x14ac:dyDescent="0.25">
      <c r="A34" s="68" t="s">
        <v>83</v>
      </c>
      <c r="B34" s="7"/>
      <c r="C34" s="8" t="s">
        <v>31</v>
      </c>
      <c r="D34" s="8" t="s">
        <v>32</v>
      </c>
      <c r="E34" s="8" t="s">
        <v>33</v>
      </c>
      <c r="F34" s="8"/>
      <c r="G34" s="61" t="s">
        <v>95</v>
      </c>
      <c r="H34" s="61"/>
    </row>
    <row r="35" spans="1:13" ht="15" customHeight="1" x14ac:dyDescent="0.25">
      <c r="A35" s="68"/>
      <c r="B35" t="s">
        <v>82</v>
      </c>
      <c r="C35">
        <f t="shared" ref="C35:C41" si="4">B10*$G$35+C10*$H$35+D10*$I$35</f>
        <v>335.58</v>
      </c>
      <c r="D35">
        <f t="shared" ref="D35:D41" si="5">B10*$G$36+C10*$H$36+D10*$I$36</f>
        <v>0</v>
      </c>
      <c r="E35">
        <f t="shared" ref="E35:E41" si="6">B10*$G$37+C10*$H$37+D10*$I$37</f>
        <v>0</v>
      </c>
      <c r="G35">
        <f>B4</f>
        <v>671.16</v>
      </c>
      <c r="H35">
        <f>B5*(COS(M37))</f>
        <v>5.8326255067062127E-14</v>
      </c>
      <c r="I35">
        <f>B6*(COS(M36))</f>
        <v>4.1157637194200182E-14</v>
      </c>
      <c r="K35" t="s">
        <v>51</v>
      </c>
      <c r="L35">
        <f>D4</f>
        <v>90</v>
      </c>
      <c r="M35">
        <f>RADIANS(L35)</f>
        <v>1.5707963267948966</v>
      </c>
    </row>
    <row r="36" spans="1:13" x14ac:dyDescent="0.25">
      <c r="B36" t="str">
        <f t="shared" ref="B36:B41" si="7">A20</f>
        <v>P1</v>
      </c>
      <c r="C36">
        <f t="shared" si="4"/>
        <v>330.41206799999998</v>
      </c>
      <c r="D36">
        <f t="shared" si="5"/>
        <v>238.03749999999999</v>
      </c>
      <c r="E36">
        <f t="shared" si="6"/>
        <v>33.594000000000001</v>
      </c>
      <c r="G36">
        <f>0</f>
        <v>0</v>
      </c>
      <c r="H36">
        <f>B5*(SIN(M37))</f>
        <v>952.15</v>
      </c>
      <c r="I36">
        <f>(B6*(COS(M35)-COS(M36)*COS(M37)))/(SIN(M37))</f>
        <v>4.1157637194200182E-14</v>
      </c>
      <c r="K36" t="s">
        <v>93</v>
      </c>
      <c r="L36">
        <f>D5</f>
        <v>90</v>
      </c>
      <c r="M36">
        <f>RADIANS(L36)</f>
        <v>1.5707963267948966</v>
      </c>
    </row>
    <row r="37" spans="1:13" x14ac:dyDescent="0.25">
      <c r="B37" t="str">
        <f t="shared" si="7"/>
        <v>P2</v>
      </c>
      <c r="C37">
        <f t="shared" si="4"/>
        <v>484.57751999999994</v>
      </c>
      <c r="D37">
        <f t="shared" si="5"/>
        <v>-16.853054999999991</v>
      </c>
      <c r="E37">
        <f t="shared" si="6"/>
        <v>189.40297199999998</v>
      </c>
      <c r="G37">
        <f>0</f>
        <v>0</v>
      </c>
      <c r="H37">
        <f>0</f>
        <v>0</v>
      </c>
      <c r="I37">
        <f>B6*(SQRT(1-POWER(COS(M36),2)-(POWER(COS(M35)-(COS(M36)*COS(M37)),2))/(POWER(SIN(M37),2))))</f>
        <v>671.88</v>
      </c>
      <c r="K37" t="s">
        <v>94</v>
      </c>
      <c r="L37">
        <f>D6</f>
        <v>90</v>
      </c>
      <c r="M37">
        <f>RADIANS(L37)</f>
        <v>1.5707963267948966</v>
      </c>
    </row>
    <row r="38" spans="1:13" x14ac:dyDescent="0.25">
      <c r="B38" t="str">
        <f t="shared" si="7"/>
        <v>P3</v>
      </c>
      <c r="C38">
        <f t="shared" si="4"/>
        <v>522.16247999999996</v>
      </c>
      <c r="D38">
        <f t="shared" si="5"/>
        <v>16.853054999999991</v>
      </c>
      <c r="E38">
        <f t="shared" si="6"/>
        <v>-146.53702799999999</v>
      </c>
      <c r="G38" s="65" t="s">
        <v>272</v>
      </c>
      <c r="H38" s="65"/>
    </row>
    <row r="39" spans="1:13" x14ac:dyDescent="0.25">
      <c r="B39" t="str">
        <f t="shared" si="7"/>
        <v>P4</v>
      </c>
      <c r="C39">
        <f t="shared" si="4"/>
        <v>186.58248</v>
      </c>
      <c r="D39">
        <f t="shared" si="5"/>
        <v>38.085999999999984</v>
      </c>
      <c r="E39">
        <f t="shared" si="6"/>
        <v>-189.40297199999998</v>
      </c>
      <c r="G39" s="6">
        <f>1/G35</f>
        <v>1.4899576852017403E-3</v>
      </c>
      <c r="H39">
        <f>-H35/(G35*H36)</f>
        <v>-9.1270967795206811E-20</v>
      </c>
      <c r="I39">
        <f>(H35*I36)/(G35*H36*I37)-I35/(G35*I37)</f>
        <v>-9.1270967795206824E-20</v>
      </c>
    </row>
    <row r="40" spans="1:13" x14ac:dyDescent="0.25">
      <c r="B40" t="str">
        <f t="shared" si="7"/>
        <v>P5</v>
      </c>
      <c r="C40">
        <f t="shared" si="4"/>
        <v>148.99752000000001</v>
      </c>
      <c r="D40">
        <f t="shared" si="5"/>
        <v>-16.853054999999991</v>
      </c>
      <c r="E40">
        <f t="shared" si="6"/>
        <v>146.53702799999999</v>
      </c>
      <c r="G40" s="6">
        <f>0</f>
        <v>0</v>
      </c>
      <c r="H40" s="6">
        <f>1/H36</f>
        <v>1.0502546867615396E-3</v>
      </c>
      <c r="I40">
        <f>-I36/(H36*I37)</f>
        <v>-6.4335895337321846E-20</v>
      </c>
    </row>
    <row r="41" spans="1:13" x14ac:dyDescent="0.25">
      <c r="B41" t="str">
        <f t="shared" si="7"/>
        <v>P6</v>
      </c>
      <c r="C41">
        <f t="shared" si="4"/>
        <v>340.74793199999999</v>
      </c>
      <c r="D41">
        <f t="shared" si="5"/>
        <v>-238.03749999999999</v>
      </c>
      <c r="E41">
        <f t="shared" si="6"/>
        <v>-22.104851999999998</v>
      </c>
      <c r="G41" s="6">
        <f>0</f>
        <v>0</v>
      </c>
      <c r="H41">
        <f>0</f>
        <v>0</v>
      </c>
      <c r="I41" s="6">
        <f>1/I37</f>
        <v>1.4883610168482467E-3</v>
      </c>
    </row>
    <row r="42" spans="1:13" x14ac:dyDescent="0.25">
      <c r="A42" t="s">
        <v>203</v>
      </c>
      <c r="B42" t="s">
        <v>204</v>
      </c>
      <c r="C42">
        <f>AVERAGE(C36:C41)</f>
        <v>335.58</v>
      </c>
      <c r="D42">
        <f>AVERAGE(D36:D41)</f>
        <v>3.5388241666666667</v>
      </c>
      <c r="E42">
        <f>AVERAGE(E36:E41)</f>
        <v>1.9148579999999995</v>
      </c>
      <c r="G42" s="6"/>
      <c r="I42" s="6"/>
    </row>
    <row r="43" spans="1:13" x14ac:dyDescent="0.25">
      <c r="G43" s="6"/>
    </row>
    <row r="44" spans="1:13" x14ac:dyDescent="0.25">
      <c r="A44" s="19" t="s">
        <v>205</v>
      </c>
      <c r="G44" s="6"/>
    </row>
    <row r="45" spans="1:13" x14ac:dyDescent="0.25">
      <c r="A45" s="30" t="s">
        <v>211</v>
      </c>
      <c r="B45" t="s">
        <v>208</v>
      </c>
      <c r="C45">
        <f t="shared" ref="C45:E51" si="8">C35-C$42</f>
        <v>0</v>
      </c>
      <c r="D45">
        <f t="shared" si="8"/>
        <v>-3.5388241666666667</v>
      </c>
      <c r="E45">
        <f t="shared" si="8"/>
        <v>-1.9148579999999995</v>
      </c>
      <c r="G45" s="6" t="s">
        <v>209</v>
      </c>
      <c r="H45">
        <f t="shared" ref="H45:H51" si="9">SQRT(POWER(C45,2)+POWER(D45,2)+POWER(E45,2))</f>
        <v>4.0236746442459816</v>
      </c>
    </row>
    <row r="46" spans="1:13" x14ac:dyDescent="0.25">
      <c r="A46" s="4" t="s">
        <v>212</v>
      </c>
      <c r="B46" s="7" t="s">
        <v>36</v>
      </c>
      <c r="C46">
        <f t="shared" si="8"/>
        <v>-5.1679320000000075</v>
      </c>
      <c r="D46">
        <f t="shared" si="8"/>
        <v>234.49867583333332</v>
      </c>
      <c r="E46">
        <f t="shared" si="8"/>
        <v>31.679142000000002</v>
      </c>
      <c r="G46" s="6" t="s">
        <v>37</v>
      </c>
      <c r="H46">
        <f t="shared" si="9"/>
        <v>236.68524357593469</v>
      </c>
      <c r="J46" s="6" t="s">
        <v>314</v>
      </c>
      <c r="K46">
        <f>AVERAGE(H46:H51)</f>
        <v>240.09211258540753</v>
      </c>
    </row>
    <row r="47" spans="1:13" x14ac:dyDescent="0.25">
      <c r="A47" s="4" t="s">
        <v>213</v>
      </c>
      <c r="B47" s="7" t="s">
        <v>39</v>
      </c>
      <c r="C47">
        <f t="shared" si="8"/>
        <v>148.99751999999995</v>
      </c>
      <c r="D47">
        <f t="shared" si="8"/>
        <v>-20.391879166666659</v>
      </c>
      <c r="E47">
        <f t="shared" si="8"/>
        <v>187.48811399999997</v>
      </c>
      <c r="G47" s="6" t="s">
        <v>40</v>
      </c>
      <c r="H47">
        <f t="shared" si="9"/>
        <v>240.3495009218353</v>
      </c>
    </row>
    <row r="48" spans="1:13" x14ac:dyDescent="0.25">
      <c r="A48" s="4" t="s">
        <v>214</v>
      </c>
      <c r="B48" s="7" t="s">
        <v>42</v>
      </c>
      <c r="C48">
        <f t="shared" si="8"/>
        <v>186.58247999999998</v>
      </c>
      <c r="D48">
        <f t="shared" si="8"/>
        <v>13.314230833333324</v>
      </c>
      <c r="E48">
        <f t="shared" si="8"/>
        <v>-148.451886</v>
      </c>
      <c r="G48" s="6" t="s">
        <v>43</v>
      </c>
      <c r="H48">
        <f t="shared" si="9"/>
        <v>238.8058898825376</v>
      </c>
    </row>
    <row r="49" spans="1:12" x14ac:dyDescent="0.25">
      <c r="A49" s="4" t="s">
        <v>215</v>
      </c>
      <c r="B49" s="7" t="s">
        <v>45</v>
      </c>
      <c r="C49">
        <f t="shared" si="8"/>
        <v>-148.99751999999998</v>
      </c>
      <c r="D49">
        <f t="shared" si="8"/>
        <v>34.54717583333332</v>
      </c>
      <c r="E49">
        <f t="shared" si="8"/>
        <v>-191.31782999999999</v>
      </c>
      <c r="G49" s="6" t="s">
        <v>46</v>
      </c>
      <c r="H49">
        <f t="shared" si="9"/>
        <v>244.94138155917742</v>
      </c>
    </row>
    <row r="50" spans="1:12" x14ac:dyDescent="0.25">
      <c r="A50" s="4" t="s">
        <v>216</v>
      </c>
      <c r="B50" s="7" t="s">
        <v>48</v>
      </c>
      <c r="C50">
        <f t="shared" si="8"/>
        <v>-186.58247999999998</v>
      </c>
      <c r="D50">
        <f t="shared" si="8"/>
        <v>-20.391879166666659</v>
      </c>
      <c r="E50">
        <f t="shared" si="8"/>
        <v>144.62216999999998</v>
      </c>
      <c r="G50" s="6" t="s">
        <v>49</v>
      </c>
      <c r="H50">
        <f t="shared" si="9"/>
        <v>236.94814334450317</v>
      </c>
    </row>
    <row r="51" spans="1:12" x14ac:dyDescent="0.25">
      <c r="A51" s="4" t="s">
        <v>217</v>
      </c>
      <c r="B51" s="7" t="s">
        <v>102</v>
      </c>
      <c r="C51">
        <f t="shared" si="8"/>
        <v>5.1679320000000075</v>
      </c>
      <c r="D51">
        <f t="shared" si="8"/>
        <v>-241.57632416666667</v>
      </c>
      <c r="E51">
        <f t="shared" si="8"/>
        <v>-24.019709999999996</v>
      </c>
      <c r="G51" s="6" t="s">
        <v>135</v>
      </c>
      <c r="H51">
        <f t="shared" si="9"/>
        <v>242.82251622845675</v>
      </c>
    </row>
    <row r="53" spans="1:12" x14ac:dyDescent="0.25">
      <c r="A53" s="17" t="s">
        <v>157</v>
      </c>
      <c r="B53" s="7" t="str">
        <f t="shared" ref="B53:B58" si="10">B46</f>
        <v>vector P1</v>
      </c>
      <c r="C53">
        <f t="shared" ref="C53:E58" si="11">C46/$K$46</f>
        <v>-2.1524788733580859E-2</v>
      </c>
      <c r="D53">
        <f t="shared" si="11"/>
        <v>0.97670295499572291</v>
      </c>
      <c r="E53">
        <f t="shared" si="11"/>
        <v>0.13194578388630254</v>
      </c>
      <c r="G53" s="6" t="str">
        <f t="shared" ref="G53:G58" si="12">G46</f>
        <v>length of vector P1</v>
      </c>
      <c r="H53">
        <f t="shared" ref="H53:H58" si="13">SQRT(POWER(C53,2)+POWER(D53,2)+POWER(E53,2))</f>
        <v>0.98581015855628773</v>
      </c>
      <c r="J53" s="6" t="s">
        <v>314</v>
      </c>
      <c r="K53">
        <f>AVERAGE(H53:H58)</f>
        <v>0.99999999999999967</v>
      </c>
    </row>
    <row r="54" spans="1:12" x14ac:dyDescent="0.25">
      <c r="A54" s="4"/>
      <c r="B54" s="7" t="str">
        <f t="shared" si="10"/>
        <v>vector P2</v>
      </c>
      <c r="C54">
        <f t="shared" si="11"/>
        <v>0.62058481803310939</v>
      </c>
      <c r="D54">
        <f t="shared" si="11"/>
        <v>-8.4933565484841544E-2</v>
      </c>
      <c r="E54">
        <f t="shared" si="11"/>
        <v>0.78090076338224212</v>
      </c>
      <c r="G54" s="6" t="str">
        <f t="shared" si="12"/>
        <v>length of vector P2</v>
      </c>
      <c r="H54">
        <f t="shared" si="13"/>
        <v>1.0010720399502344</v>
      </c>
    </row>
    <row r="55" spans="1:12" x14ac:dyDescent="0.25">
      <c r="A55" s="4"/>
      <c r="B55" s="7" t="str">
        <f t="shared" si="10"/>
        <v>vector P3</v>
      </c>
      <c r="C55">
        <f t="shared" si="11"/>
        <v>0.77712873609551558</v>
      </c>
      <c r="D55">
        <f t="shared" si="11"/>
        <v>5.5454678164810922E-2</v>
      </c>
      <c r="E55">
        <f t="shared" si="11"/>
        <v>-0.61831221526359592</v>
      </c>
      <c r="G55" s="6" t="str">
        <f t="shared" si="12"/>
        <v>length of vector P3</v>
      </c>
      <c r="H55">
        <f t="shared" si="13"/>
        <v>0.99464279484644713</v>
      </c>
    </row>
    <row r="56" spans="1:12" x14ac:dyDescent="0.25">
      <c r="A56" s="4"/>
      <c r="B56" s="7" t="str">
        <f t="shared" si="10"/>
        <v>vector P4</v>
      </c>
      <c r="C56">
        <f t="shared" si="11"/>
        <v>-0.6205848180331095</v>
      </c>
      <c r="D56">
        <f t="shared" si="11"/>
        <v>0.14389134012490276</v>
      </c>
      <c r="E56">
        <f t="shared" si="11"/>
        <v>-0.79685179133880479</v>
      </c>
      <c r="G56" s="6" t="str">
        <f t="shared" si="12"/>
        <v>length of vector P4</v>
      </c>
      <c r="H56">
        <f t="shared" si="13"/>
        <v>1.0201975355273067</v>
      </c>
    </row>
    <row r="57" spans="1:12" x14ac:dyDescent="0.25">
      <c r="A57" s="4"/>
      <c r="B57" s="7" t="str">
        <f t="shared" si="10"/>
        <v>vector P5</v>
      </c>
      <c r="C57">
        <f t="shared" si="11"/>
        <v>-0.77712873609551558</v>
      </c>
      <c r="D57">
        <f t="shared" si="11"/>
        <v>-8.4933565484841544E-2</v>
      </c>
      <c r="E57">
        <f t="shared" si="11"/>
        <v>0.60236118730703325</v>
      </c>
      <c r="G57" s="6" t="str">
        <f t="shared" si="12"/>
        <v>length of vector P5</v>
      </c>
      <c r="H57">
        <f t="shared" si="13"/>
        <v>0.98690515399673551</v>
      </c>
    </row>
    <row r="58" spans="1:12" x14ac:dyDescent="0.25">
      <c r="B58" s="7" t="str">
        <f t="shared" si="10"/>
        <v>vector P6</v>
      </c>
      <c r="C58">
        <f t="shared" si="11"/>
        <v>2.1524788733580859E-2</v>
      </c>
      <c r="D58">
        <f t="shared" si="11"/>
        <v>-1.0061818423157536</v>
      </c>
      <c r="E58">
        <f t="shared" si="11"/>
        <v>-0.10004372797317741</v>
      </c>
      <c r="G58" s="6" t="str">
        <f t="shared" si="12"/>
        <v>length of vector P6</v>
      </c>
      <c r="H58">
        <f t="shared" si="13"/>
        <v>1.0113723171229874</v>
      </c>
    </row>
    <row r="60" spans="1:12" x14ac:dyDescent="0.25">
      <c r="A60" s="12" t="s">
        <v>85</v>
      </c>
      <c r="B60" s="7"/>
      <c r="C60" t="s">
        <v>63</v>
      </c>
      <c r="D60" t="s">
        <v>64</v>
      </c>
      <c r="E60" t="s">
        <v>65</v>
      </c>
      <c r="J60" t="s">
        <v>87</v>
      </c>
      <c r="K60" t="s">
        <v>88</v>
      </c>
    </row>
    <row r="61" spans="1:12" x14ac:dyDescent="0.25">
      <c r="B61" s="7" t="str">
        <f t="shared" ref="B61:B66" si="14">E11</f>
        <v>P1*</v>
      </c>
      <c r="C61">
        <f>SIN($I$22)*COS($I$23)</f>
        <v>-1.1132766756402282E-2</v>
      </c>
      <c r="D61">
        <f>SIN($I$22)*SIN($I$23)</f>
        <v>0.99303059826787277</v>
      </c>
      <c r="E61">
        <f>COS($I$22)</f>
        <v>0.11732984449021563</v>
      </c>
      <c r="G61" s="6" t="s">
        <v>67</v>
      </c>
      <c r="H61">
        <f t="shared" ref="H61:H66" si="15">SQRT(POWER(C61,2)+POWER(D61,2)+POWER(E61,2))</f>
        <v>1</v>
      </c>
      <c r="I61" s="6"/>
      <c r="J61">
        <f>ACOS((C61*C62+D61*D62+E61*E62)/(SQRT(C61^2+D61^2+E61^2)*SQRT(C62^2+D62^2+E62^2)))</f>
        <v>1.5707963267948966</v>
      </c>
      <c r="K61">
        <f t="shared" ref="K61:K66" si="16">DEGREES(J61)</f>
        <v>90</v>
      </c>
      <c r="L61" t="s">
        <v>80</v>
      </c>
    </row>
    <row r="62" spans="1:12" x14ac:dyDescent="0.25">
      <c r="B62" s="7" t="str">
        <f t="shared" si="14"/>
        <v>P2*</v>
      </c>
      <c r="C62">
        <f>SIN((PI()/2)+$I$22)*COS($I$23)</f>
        <v>-1.3152905031554097E-3</v>
      </c>
      <c r="D62">
        <f>SIN((PI()/2)+$I$22)*SIN($I$23)</f>
        <v>0.11732247192669659</v>
      </c>
      <c r="E62">
        <f>COS(PI()/2+$I$22)</f>
        <v>-0.99309300047472981</v>
      </c>
      <c r="G62" s="6" t="s">
        <v>68</v>
      </c>
      <c r="H62">
        <f t="shared" si="15"/>
        <v>1</v>
      </c>
      <c r="J62">
        <f>ACOS((C62*C63+D62*D63+E62*E63)/(SQRT(C62^2+D62^2+E62^2)*SQRT(C63^2+D63^2+E63^2)))</f>
        <v>1.5707963267948966</v>
      </c>
      <c r="K62">
        <f t="shared" si="16"/>
        <v>90</v>
      </c>
      <c r="L62" t="s">
        <v>81</v>
      </c>
    </row>
    <row r="63" spans="1:12" x14ac:dyDescent="0.25">
      <c r="B63" s="7" t="str">
        <f t="shared" si="14"/>
        <v>P3*</v>
      </c>
      <c r="C63">
        <f>D61*E62-E61*D62</f>
        <v>-0.99993716378342479</v>
      </c>
      <c r="D63">
        <f>E61*C62-C61*E62</f>
        <v>-1.1210195571895549E-2</v>
      </c>
      <c r="E63" s="11">
        <f>C61*D62-D61*C62</f>
        <v>0</v>
      </c>
      <c r="G63" s="6" t="s">
        <v>69</v>
      </c>
      <c r="H63">
        <f t="shared" si="15"/>
        <v>0.99999999999999989</v>
      </c>
      <c r="J63">
        <f>ACOS((C63*C64+D63*D64+E63*E64)/(SQRT(C63^2+D63^2+E63^2)*SQRT(C64^2+D64^2+E64^2)))</f>
        <v>1.5707963267948966</v>
      </c>
      <c r="K63">
        <f t="shared" si="16"/>
        <v>90</v>
      </c>
      <c r="L63" t="s">
        <v>89</v>
      </c>
    </row>
    <row r="64" spans="1:12" x14ac:dyDescent="0.25">
      <c r="B64" s="7" t="str">
        <f t="shared" si="14"/>
        <v>P4*</v>
      </c>
      <c r="C64">
        <f>SIN((PI()/2)-$I$22)*COS(PI()+$I$23)</f>
        <v>1.3152905031554459E-3</v>
      </c>
      <c r="D64">
        <f>SIN((PI()/2)-$I$22)*SIN(PI()+$I$23)</f>
        <v>-0.11732247192669647</v>
      </c>
      <c r="E64">
        <f>COS(PI()/2-$I$22)</f>
        <v>0.99309300047472993</v>
      </c>
      <c r="G64" s="6" t="s">
        <v>70</v>
      </c>
      <c r="H64">
        <f t="shared" si="15"/>
        <v>1</v>
      </c>
      <c r="J64">
        <f>ACOS((C64*C65+D64*D65+E64*E65)/(SQRT(C64^2+D64^2+E64^2)*SQRT(C65^2+D65^2+E65^2)))</f>
        <v>1.5707963267948966</v>
      </c>
      <c r="K64">
        <f t="shared" si="16"/>
        <v>90</v>
      </c>
      <c r="L64" t="s">
        <v>90</v>
      </c>
    </row>
    <row r="65" spans="1:12" x14ac:dyDescent="0.25">
      <c r="B65" s="7" t="str">
        <f t="shared" si="14"/>
        <v>P5*</v>
      </c>
      <c r="C65">
        <f>D62*E61-E62*D61</f>
        <v>0.99993716378342479</v>
      </c>
      <c r="D65">
        <f>E62*C61-C62*E61</f>
        <v>1.1210195571895549E-2</v>
      </c>
      <c r="E65">
        <f>C62*D61-D62*C61</f>
        <v>0</v>
      </c>
      <c r="G65" s="6" t="s">
        <v>71</v>
      </c>
      <c r="H65">
        <f t="shared" si="15"/>
        <v>0.99999999999999989</v>
      </c>
      <c r="J65">
        <f>ACOS((C65*C66+D65*D66+E65*E66)/(SQRT(C65^2+D65^2+E65^2)*SQRT(C66^2+D66^2+E66^2)))</f>
        <v>1.5707963267948963</v>
      </c>
      <c r="K65">
        <f t="shared" si="16"/>
        <v>89.999999999999986</v>
      </c>
      <c r="L65" t="s">
        <v>91</v>
      </c>
    </row>
    <row r="66" spans="1:12" x14ac:dyDescent="0.25">
      <c r="B66" s="7" t="str">
        <f t="shared" si="14"/>
        <v>P6*</v>
      </c>
      <c r="C66">
        <f>SIN(PI()-$I$22)*COS(PI()+$I$23)</f>
        <v>1.1132766756402603E-2</v>
      </c>
      <c r="D66">
        <f>SIN(PI()-$I$22)*SIN(PI()+$I$23)</f>
        <v>-0.99303059826787288</v>
      </c>
      <c r="E66">
        <f>COS(PI()+$I$22)</f>
        <v>-0.11732984449021576</v>
      </c>
      <c r="G66" s="6" t="s">
        <v>142</v>
      </c>
      <c r="H66">
        <f t="shared" si="15"/>
        <v>1</v>
      </c>
      <c r="J66">
        <f>ACOS((C66*C61+D66*D61+E66*E61)/(SQRT(C66^2+D66^2+E66^2)*SQRT(C61^2+D61^2+E61^2)))</f>
        <v>3.1415926535897931</v>
      </c>
      <c r="K66">
        <f t="shared" si="16"/>
        <v>180</v>
      </c>
      <c r="L66" t="s">
        <v>92</v>
      </c>
    </row>
    <row r="68" spans="1:12" x14ac:dyDescent="0.25">
      <c r="A68" s="12" t="s">
        <v>86</v>
      </c>
      <c r="B68" s="7" t="s">
        <v>73</v>
      </c>
      <c r="C68">
        <f t="shared" ref="C68:E73" si="17">C61-C53</f>
        <v>1.0392021977178577E-2</v>
      </c>
      <c r="D68">
        <f t="shared" si="17"/>
        <v>1.6327643272149861E-2</v>
      </c>
      <c r="E68">
        <f t="shared" si="17"/>
        <v>-1.4615939396086908E-2</v>
      </c>
      <c r="G68" s="6" t="s">
        <v>78</v>
      </c>
      <c r="H68" s="31">
        <f t="shared" ref="H68:H73" si="18">SQRT(POWER(C68,2)+POWER(D68,2)+POWER(E68,2))</f>
        <v>2.4253076918750501E-2</v>
      </c>
    </row>
    <row r="69" spans="1:12" x14ac:dyDescent="0.25">
      <c r="B69" s="7" t="s">
        <v>74</v>
      </c>
      <c r="C69">
        <f t="shared" si="17"/>
        <v>-0.62190010853626476</v>
      </c>
      <c r="D69">
        <f t="shared" si="17"/>
        <v>0.20225603741153814</v>
      </c>
      <c r="E69">
        <f t="shared" si="17"/>
        <v>-1.7739937638569718</v>
      </c>
      <c r="G69" s="6" t="s">
        <v>78</v>
      </c>
      <c r="H69" s="32">
        <f t="shared" si="18"/>
        <v>1.89069329185626</v>
      </c>
    </row>
    <row r="70" spans="1:12" x14ac:dyDescent="0.25">
      <c r="B70" s="7" t="s">
        <v>75</v>
      </c>
      <c r="C70">
        <f t="shared" si="17"/>
        <v>-1.7770658998789404</v>
      </c>
      <c r="D70">
        <f t="shared" si="17"/>
        <v>-6.6664873736706473E-2</v>
      </c>
      <c r="E70">
        <f t="shared" si="17"/>
        <v>0.61831221526359592</v>
      </c>
      <c r="G70" s="6" t="s">
        <v>78</v>
      </c>
      <c r="H70" s="32">
        <f t="shared" si="18"/>
        <v>1.8827419933296901</v>
      </c>
    </row>
    <row r="71" spans="1:12" x14ac:dyDescent="0.25">
      <c r="B71" s="7" t="s">
        <v>76</v>
      </c>
      <c r="C71">
        <f t="shared" si="17"/>
        <v>0.62190010853626498</v>
      </c>
      <c r="D71">
        <f t="shared" si="17"/>
        <v>-0.26121381205159921</v>
      </c>
      <c r="E71">
        <f t="shared" si="17"/>
        <v>1.7899447918135347</v>
      </c>
      <c r="G71" s="6" t="s">
        <v>78</v>
      </c>
      <c r="H71" s="32">
        <f t="shared" si="18"/>
        <v>1.9128237656261866</v>
      </c>
    </row>
    <row r="72" spans="1:12" x14ac:dyDescent="0.25">
      <c r="B72" s="7" t="s">
        <v>77</v>
      </c>
      <c r="C72">
        <f t="shared" si="17"/>
        <v>1.7770658998789404</v>
      </c>
      <c r="D72">
        <f t="shared" si="17"/>
        <v>9.6143761056737095E-2</v>
      </c>
      <c r="E72">
        <f t="shared" si="17"/>
        <v>-0.60236118730703325</v>
      </c>
      <c r="G72" s="6" t="s">
        <v>78</v>
      </c>
      <c r="H72" s="32">
        <f t="shared" si="18"/>
        <v>1.8788416205940888</v>
      </c>
    </row>
    <row r="73" spans="1:12" x14ac:dyDescent="0.25">
      <c r="B73" s="7" t="s">
        <v>103</v>
      </c>
      <c r="C73">
        <f t="shared" si="17"/>
        <v>-1.0392021977178256E-2</v>
      </c>
      <c r="D73">
        <f t="shared" si="17"/>
        <v>1.3151244047880706E-2</v>
      </c>
      <c r="E73">
        <f t="shared" si="17"/>
        <v>-1.7286116517038347E-2</v>
      </c>
      <c r="G73" s="6" t="s">
        <v>78</v>
      </c>
      <c r="H73" s="31">
        <f t="shared" si="18"/>
        <v>2.4078188574344614E-2</v>
      </c>
    </row>
    <row r="76" spans="1:12" x14ac:dyDescent="0.25">
      <c r="A76" s="67" t="s">
        <v>162</v>
      </c>
      <c r="C76">
        <f>(C61^2)*(1-COS($I$24))+COS($I$24)</f>
        <v>-0.78546284777426501</v>
      </c>
      <c r="D76">
        <f>C61*D61*(1-COS($I$24))-E61*SIN($I$24)</f>
        <v>5.2842451169754806E-2</v>
      </c>
      <c r="E76">
        <f>C61*E61*(1-COS($I$24))+D61*SIN($I$24)</f>
        <v>-0.61664883857890618</v>
      </c>
    </row>
    <row r="77" spans="1:12" x14ac:dyDescent="0.25">
      <c r="A77" s="68"/>
      <c r="B77" t="s">
        <v>237</v>
      </c>
      <c r="C77">
        <f>D61*C61*(1-COS($I$24))+E61*SIN($I$24)</f>
        <v>-9.2324563828473816E-2</v>
      </c>
      <c r="D77">
        <f>(D61^2)*(1-COS($I$24))+COS($I$24)</f>
        <v>0.97519643465777184</v>
      </c>
      <c r="E77">
        <f>D61*E61*(1-COS($I$24))-C61*SIN($I$24)</f>
        <v>0.20116681819985122</v>
      </c>
    </row>
    <row r="78" spans="1:12" x14ac:dyDescent="0.25">
      <c r="C78">
        <f>E61*C61*(1-COS($I$24))-D61*SIN($I$24)</f>
        <v>0.61198389658570584</v>
      </c>
      <c r="D78">
        <f>D61*E61*(1-COS($I$24))+C61*SIN($I$24)</f>
        <v>0.21494089695807544</v>
      </c>
      <c r="E78">
        <f>(E61^2)*(1-COS($I$24))+COS($I$24)</f>
        <v>-0.76110191244972836</v>
      </c>
    </row>
    <row r="79" spans="1:12" x14ac:dyDescent="0.25">
      <c r="J79" t="s">
        <v>87</v>
      </c>
      <c r="K79" t="s">
        <v>88</v>
      </c>
    </row>
    <row r="80" spans="1:12" x14ac:dyDescent="0.25">
      <c r="A80" s="19" t="s">
        <v>340</v>
      </c>
      <c r="B80" t="str">
        <f t="shared" ref="B80:B85" si="19">B61</f>
        <v>P1*</v>
      </c>
      <c r="C80">
        <f t="shared" ref="C80:H80" si="20">C61</f>
        <v>-1.1132766756402282E-2</v>
      </c>
      <c r="D80">
        <f t="shared" si="20"/>
        <v>0.99303059826787277</v>
      </c>
      <c r="E80">
        <f t="shared" si="20"/>
        <v>0.11732984449021563</v>
      </c>
      <c r="G80" t="str">
        <f t="shared" si="20"/>
        <v>length of vector P1*</v>
      </c>
      <c r="H80">
        <f t="shared" si="20"/>
        <v>1</v>
      </c>
      <c r="J80">
        <f>ACOS((C80*C81+D80*D81+E80*E81)/(SQRT(C80^2+D80^2+E80^2)*SQRT(C81^2+D81^2+E81^2)))</f>
        <v>1.5707963267948966</v>
      </c>
      <c r="K80">
        <f t="shared" ref="K80:K85" si="21">DEGREES(J80)</f>
        <v>90</v>
      </c>
      <c r="L80" t="s">
        <v>80</v>
      </c>
    </row>
    <row r="81" spans="1:12" x14ac:dyDescent="0.25">
      <c r="B81" t="str">
        <f t="shared" si="19"/>
        <v>P2*</v>
      </c>
      <c r="C81">
        <f>C62*$C$76+D62*$D$76+E62*$E$76</f>
        <v>0.61962236416174354</v>
      </c>
      <c r="D81">
        <f>C62*$C$77+D62*$D$77+E62*$E$77</f>
        <v>-8.5243469131882119E-2</v>
      </c>
      <c r="E81">
        <f>C62*$C$78+D62*$D$78+E62*$E$78</f>
        <v>0.78025744264375541</v>
      </c>
      <c r="G81" s="6" t="s">
        <v>67</v>
      </c>
      <c r="H81">
        <f>SQRT(POWER(C81,2)+POWER(D81,2)+POWER(E81,2))</f>
        <v>0.99999999999999989</v>
      </c>
      <c r="J81">
        <f>ACOS((C81*C82+D81*D82+E81*E82)/(SQRT(C81^2+D81^2+E81^2)*SQRT(C82^2+D82^2+E82^2)))</f>
        <v>1.5707963267948966</v>
      </c>
      <c r="K81">
        <f t="shared" si="21"/>
        <v>90</v>
      </c>
      <c r="L81" t="s">
        <v>81</v>
      </c>
    </row>
    <row r="82" spans="1:12" x14ac:dyDescent="0.25">
      <c r="B82" t="str">
        <f t="shared" si="19"/>
        <v>P3*</v>
      </c>
      <c r="C82">
        <f>C63*$C$76+D63*$D$76+E63*$E$76</f>
        <v>0.78482111804853916</v>
      </c>
      <c r="D82">
        <f>C63*$C$77+D63*$D$77+E63*$E$77</f>
        <v>8.1386619748656991E-2</v>
      </c>
      <c r="E82">
        <f>C63*$C$78+D63*$D$78+E63*$E$78</f>
        <v>-0.61435497132433814</v>
      </c>
      <c r="G82" s="6" t="s">
        <v>68</v>
      </c>
      <c r="H82">
        <f>SQRT(POWER(C82,2)+POWER(D82,2)+POWER(E82,2))</f>
        <v>1</v>
      </c>
      <c r="J82">
        <f>ACOS((C82*C83+D82*D83+E82*E83)/(SQRT(C82^2+D82^2+E82^2)*SQRT(C83^2+D83^2+E83^2)))</f>
        <v>1.5707963267948966</v>
      </c>
      <c r="K82">
        <f t="shared" si="21"/>
        <v>90</v>
      </c>
      <c r="L82" t="s">
        <v>89</v>
      </c>
    </row>
    <row r="83" spans="1:12" x14ac:dyDescent="0.25">
      <c r="B83" t="str">
        <f t="shared" si="19"/>
        <v>P4*</v>
      </c>
      <c r="C83">
        <f>C64*$C$76+D64*$D$76+E64*$E$76</f>
        <v>-0.61962236416174366</v>
      </c>
      <c r="D83">
        <f>C64*$C$77+D64*$D$77+E64*$E$77</f>
        <v>8.5243469131882271E-2</v>
      </c>
      <c r="E83">
        <f>C64*$C$78+D64*$D$78+E64*$E$78</f>
        <v>-0.78025744264375552</v>
      </c>
      <c r="G83" s="6" t="s">
        <v>69</v>
      </c>
      <c r="H83">
        <f>SQRT(POWER(C83,2)+POWER(D83,2)+POWER(E83,2))</f>
        <v>1</v>
      </c>
      <c r="J83">
        <f>ACOS((C83*C84+D83*D84+E83*E84)/(SQRT(C83^2+D83^2+E83^2)*SQRT(C84^2+D84^2+E84^2)))</f>
        <v>1.5707963267948966</v>
      </c>
      <c r="K83">
        <f t="shared" si="21"/>
        <v>90</v>
      </c>
      <c r="L83" t="s">
        <v>90</v>
      </c>
    </row>
    <row r="84" spans="1:12" x14ac:dyDescent="0.25">
      <c r="B84" t="str">
        <f t="shared" si="19"/>
        <v>P5*</v>
      </c>
      <c r="C84">
        <f>C65*$C$76+D65*$D$76+E65*$E$76</f>
        <v>-0.78482111804853916</v>
      </c>
      <c r="D84">
        <f>C65*$C$77+D65*$D$77+E65*$E$77</f>
        <v>-8.1386619748656991E-2</v>
      </c>
      <c r="E84">
        <f>C65*$C$78+D65*$D$78+E65*$E$78</f>
        <v>0.61435497132433814</v>
      </c>
      <c r="G84" s="6" t="s">
        <v>70</v>
      </c>
      <c r="H84">
        <f>SQRT(POWER(C84,2)+POWER(D84,2)+POWER(E84,2))</f>
        <v>1</v>
      </c>
      <c r="J84">
        <f>ACOS((C84*C85+D84*D85+E84*E85)/(SQRT(C84^2+D84^2+E84^2)*SQRT(C85^2+D85^2+E85^2)))</f>
        <v>1.570796326794897</v>
      </c>
      <c r="K84">
        <f t="shared" si="21"/>
        <v>90.000000000000028</v>
      </c>
      <c r="L84" t="s">
        <v>91</v>
      </c>
    </row>
    <row r="85" spans="1:12" ht="15" customHeight="1" x14ac:dyDescent="0.25">
      <c r="B85" t="str">
        <f t="shared" si="19"/>
        <v>P6*</v>
      </c>
      <c r="C85" s="7">
        <f t="shared" ref="C85:H85" si="22">C66</f>
        <v>1.1132766756402603E-2</v>
      </c>
      <c r="D85" s="7">
        <f t="shared" si="22"/>
        <v>-0.99303059826787288</v>
      </c>
      <c r="E85" s="7">
        <f t="shared" si="22"/>
        <v>-0.11732984449021576</v>
      </c>
      <c r="F85" s="7"/>
      <c r="G85" s="7" t="str">
        <f t="shared" si="22"/>
        <v>length of vector P6*</v>
      </c>
      <c r="H85" s="7">
        <f t="shared" si="22"/>
        <v>1</v>
      </c>
      <c r="J85">
        <f>ACOS((C85*C80+D85*D80+E85*E80)/(SQRT(C85^2+D85^2+E85^2)*SQRT(C80^2+D80^2+E80^2)))</f>
        <v>3.1415926535897931</v>
      </c>
      <c r="K85">
        <f t="shared" si="21"/>
        <v>180</v>
      </c>
      <c r="L85" t="s">
        <v>92</v>
      </c>
    </row>
    <row r="86" spans="1:12" x14ac:dyDescent="0.25">
      <c r="B86" s="7"/>
      <c r="C86" s="7"/>
      <c r="D86" s="7"/>
      <c r="E86" s="7"/>
      <c r="G86" s="6"/>
    </row>
    <row r="87" spans="1:12" x14ac:dyDescent="0.25">
      <c r="A87" s="12" t="s">
        <v>72</v>
      </c>
      <c r="B87" t="str">
        <f>B68</f>
        <v>P1*-P1</v>
      </c>
      <c r="C87">
        <f>C68</f>
        <v>1.0392021977178577E-2</v>
      </c>
      <c r="D87">
        <f>D68</f>
        <v>1.6327643272149861E-2</v>
      </c>
      <c r="E87">
        <f>E68</f>
        <v>-1.4615939396086908E-2</v>
      </c>
      <c r="G87" s="6" t="s">
        <v>78</v>
      </c>
      <c r="H87" s="32">
        <f t="shared" ref="H87:H92" si="23">SQRT(POWER(C87,2)+POWER(D87,2)+POWER(E87,2))</f>
        <v>2.4253076918750501E-2</v>
      </c>
    </row>
    <row r="88" spans="1:12" x14ac:dyDescent="0.25">
      <c r="B88" t="str">
        <f>B69</f>
        <v>P2*-P2</v>
      </c>
      <c r="C88">
        <f t="shared" ref="C88:E91" si="24">C81-C54</f>
        <v>-9.6245387136584259E-4</v>
      </c>
      <c r="D88">
        <f t="shared" si="24"/>
        <v>-3.0990364704057416E-4</v>
      </c>
      <c r="E88">
        <f t="shared" si="24"/>
        <v>-6.43320738486719E-4</v>
      </c>
      <c r="G88" s="6" t="s">
        <v>78</v>
      </c>
      <c r="H88" s="31">
        <f t="shared" si="23"/>
        <v>1.1984236719638193E-3</v>
      </c>
    </row>
    <row r="89" spans="1:12" x14ac:dyDescent="0.25">
      <c r="B89" t="str">
        <f>B70</f>
        <v>P3*-P3</v>
      </c>
      <c r="C89">
        <f t="shared" si="24"/>
        <v>7.6923819530235749E-3</v>
      </c>
      <c r="D89">
        <f t="shared" si="24"/>
        <v>2.5931941583846069E-2</v>
      </c>
      <c r="E89">
        <f t="shared" si="24"/>
        <v>3.9572439392577818E-3</v>
      </c>
      <c r="G89" s="6" t="s">
        <v>78</v>
      </c>
      <c r="H89" s="31">
        <f t="shared" si="23"/>
        <v>2.7336753904112322E-2</v>
      </c>
    </row>
    <row r="90" spans="1:12" x14ac:dyDescent="0.25">
      <c r="B90" t="str">
        <f>B71</f>
        <v>P4*-P4</v>
      </c>
      <c r="C90">
        <f t="shared" si="24"/>
        <v>9.6245387136584259E-4</v>
      </c>
      <c r="D90">
        <f t="shared" si="24"/>
        <v>-5.864787099302049E-2</v>
      </c>
      <c r="E90">
        <f t="shared" si="24"/>
        <v>1.6594348695049277E-2</v>
      </c>
      <c r="G90" s="6" t="s">
        <v>78</v>
      </c>
      <c r="H90" s="31">
        <f t="shared" si="23"/>
        <v>6.0957948604602546E-2</v>
      </c>
    </row>
    <row r="91" spans="1:12" x14ac:dyDescent="0.25">
      <c r="B91" t="str">
        <f>B72</f>
        <v>P5*-P5</v>
      </c>
      <c r="C91">
        <f t="shared" si="24"/>
        <v>-7.6923819530235749E-3</v>
      </c>
      <c r="D91">
        <f t="shared" si="24"/>
        <v>3.5469457361845536E-3</v>
      </c>
      <c r="E91">
        <f t="shared" si="24"/>
        <v>1.1993784017304887E-2</v>
      </c>
      <c r="G91" s="6" t="s">
        <v>78</v>
      </c>
      <c r="H91" s="31">
        <f t="shared" si="23"/>
        <v>1.4683474357943992E-2</v>
      </c>
    </row>
    <row r="92" spans="1:12" x14ac:dyDescent="0.25">
      <c r="B92" t="str">
        <f>B73</f>
        <v>P6*-P6</v>
      </c>
      <c r="C92">
        <f>C73</f>
        <v>-1.0392021977178256E-2</v>
      </c>
      <c r="D92">
        <f>D73</f>
        <v>1.3151244047880706E-2</v>
      </c>
      <c r="E92">
        <f>E73</f>
        <v>-1.7286116517038347E-2</v>
      </c>
      <c r="G92" s="6" t="s">
        <v>78</v>
      </c>
      <c r="H92" s="32">
        <f t="shared" si="23"/>
        <v>2.4078188574344614E-2</v>
      </c>
    </row>
    <row r="93" spans="1:12" x14ac:dyDescent="0.25">
      <c r="B93" s="7"/>
      <c r="G93" s="6"/>
    </row>
    <row r="94" spans="1:12" x14ac:dyDescent="0.25">
      <c r="A94" s="19" t="s">
        <v>227</v>
      </c>
      <c r="B94" s="7" t="s">
        <v>204</v>
      </c>
      <c r="C94">
        <v>0</v>
      </c>
      <c r="D94">
        <v>0</v>
      </c>
      <c r="E94">
        <v>0</v>
      </c>
    </row>
    <row r="95" spans="1:12" x14ac:dyDescent="0.25">
      <c r="B95" t="str">
        <f t="shared" ref="B95:B100" si="25">B80</f>
        <v>P1*</v>
      </c>
      <c r="C95">
        <f t="shared" ref="C95:E100" si="26">C80*$K$46</f>
        <v>-2.6728894894652186</v>
      </c>
      <c r="D95">
        <f t="shared" si="26"/>
        <v>238.41881420008471</v>
      </c>
      <c r="E95">
        <f t="shared" si="26"/>
        <v>28.16997023297321</v>
      </c>
    </row>
    <row r="96" spans="1:12" x14ac:dyDescent="0.25">
      <c r="B96" t="str">
        <f t="shared" si="25"/>
        <v>P2*</v>
      </c>
      <c r="C96">
        <f t="shared" si="26"/>
        <v>148.76644241675771</v>
      </c>
      <c r="D96">
        <f t="shared" si="26"/>
        <v>-20.466284587982553</v>
      </c>
      <c r="E96">
        <f t="shared" si="26"/>
        <v>187.33365776482668</v>
      </c>
    </row>
    <row r="97" spans="1:5" x14ac:dyDescent="0.25">
      <c r="B97" t="str">
        <f t="shared" si="25"/>
        <v>P3*</v>
      </c>
      <c r="C97">
        <f t="shared" si="26"/>
        <v>188.42936023391528</v>
      </c>
      <c r="D97">
        <f t="shared" si="26"/>
        <v>19.540285471640306</v>
      </c>
      <c r="E97">
        <f t="shared" si="26"/>
        <v>-147.5017829426078</v>
      </c>
    </row>
    <row r="98" spans="1:5" x14ac:dyDescent="0.25">
      <c r="B98" t="str">
        <f t="shared" si="25"/>
        <v>P4*</v>
      </c>
      <c r="C98">
        <f t="shared" si="26"/>
        <v>-148.76644241675774</v>
      </c>
      <c r="D98">
        <f t="shared" si="26"/>
        <v>20.466284587982589</v>
      </c>
      <c r="E98">
        <f t="shared" si="26"/>
        <v>-187.33365776482671</v>
      </c>
    </row>
    <row r="99" spans="1:5" x14ac:dyDescent="0.25">
      <c r="B99" t="str">
        <f t="shared" si="25"/>
        <v>P5*</v>
      </c>
      <c r="C99">
        <f t="shared" si="26"/>
        <v>-188.42936023391528</v>
      </c>
      <c r="D99">
        <f t="shared" si="26"/>
        <v>-19.540285471640306</v>
      </c>
      <c r="E99">
        <f t="shared" si="26"/>
        <v>147.5017829426078</v>
      </c>
    </row>
    <row r="100" spans="1:5" x14ac:dyDescent="0.25">
      <c r="B100" t="str">
        <f t="shared" si="25"/>
        <v>P6*</v>
      </c>
      <c r="C100">
        <f t="shared" si="26"/>
        <v>2.6728894894652959</v>
      </c>
      <c r="D100">
        <f t="shared" si="26"/>
        <v>-238.41881420008474</v>
      </c>
      <c r="E100">
        <f t="shared" si="26"/>
        <v>-28.169970232973238</v>
      </c>
    </row>
    <row r="102" spans="1:5" x14ac:dyDescent="0.25">
      <c r="A102" s="19" t="s">
        <v>228</v>
      </c>
      <c r="B102" t="s">
        <v>204</v>
      </c>
      <c r="C102">
        <f>C94+$C$42</f>
        <v>335.58</v>
      </c>
      <c r="D102">
        <f>D94+$D$42</f>
        <v>3.5388241666666667</v>
      </c>
      <c r="E102">
        <f>E94+$E$42</f>
        <v>1.9148579999999995</v>
      </c>
    </row>
    <row r="103" spans="1:5" x14ac:dyDescent="0.25">
      <c r="B103" t="str">
        <f t="shared" ref="B103:B108" si="27">B95</f>
        <v>P1*</v>
      </c>
      <c r="C103">
        <f t="shared" ref="C103:C108" si="28">C95+$C$42</f>
        <v>332.90711051053478</v>
      </c>
      <c r="D103">
        <f t="shared" ref="D103:D108" si="29">D95+$D$42</f>
        <v>241.95763836675138</v>
      </c>
      <c r="E103">
        <f t="shared" ref="E103:E108" si="30">E95+$E$42</f>
        <v>30.084828232973209</v>
      </c>
    </row>
    <row r="104" spans="1:5" x14ac:dyDescent="0.25">
      <c r="B104" t="str">
        <f t="shared" si="27"/>
        <v>P2*</v>
      </c>
      <c r="C104">
        <f t="shared" si="28"/>
        <v>484.34644241675767</v>
      </c>
      <c r="D104">
        <f t="shared" si="29"/>
        <v>-16.927460421315885</v>
      </c>
      <c r="E104">
        <f t="shared" si="30"/>
        <v>189.24851576482669</v>
      </c>
    </row>
    <row r="105" spans="1:5" x14ac:dyDescent="0.25">
      <c r="B105" t="str">
        <f t="shared" si="27"/>
        <v>P3*</v>
      </c>
      <c r="C105">
        <f t="shared" si="28"/>
        <v>524.00936023391523</v>
      </c>
      <c r="D105">
        <f t="shared" si="29"/>
        <v>23.079109638306974</v>
      </c>
      <c r="E105">
        <f t="shared" si="30"/>
        <v>-145.58692494260779</v>
      </c>
    </row>
    <row r="106" spans="1:5" x14ac:dyDescent="0.25">
      <c r="B106" t="str">
        <f t="shared" si="27"/>
        <v>P4*</v>
      </c>
      <c r="C106">
        <f t="shared" si="28"/>
        <v>186.81355758324224</v>
      </c>
      <c r="D106">
        <f t="shared" si="29"/>
        <v>24.005108754649257</v>
      </c>
      <c r="E106">
        <f t="shared" si="30"/>
        <v>-185.4187997648267</v>
      </c>
    </row>
    <row r="107" spans="1:5" x14ac:dyDescent="0.25">
      <c r="B107" t="str">
        <f t="shared" si="27"/>
        <v>P5*</v>
      </c>
      <c r="C107">
        <f t="shared" si="28"/>
        <v>147.15063976608471</v>
      </c>
      <c r="D107">
        <f t="shared" si="29"/>
        <v>-16.001461304973638</v>
      </c>
      <c r="E107">
        <f t="shared" si="30"/>
        <v>149.41664094260781</v>
      </c>
    </row>
    <row r="108" spans="1:5" x14ac:dyDescent="0.25">
      <c r="B108" t="str">
        <f t="shared" si="27"/>
        <v>P6*</v>
      </c>
      <c r="C108">
        <f t="shared" si="28"/>
        <v>338.2528894894653</v>
      </c>
      <c r="D108">
        <f t="shared" si="29"/>
        <v>-234.87999003341807</v>
      </c>
      <c r="E108">
        <f t="shared" si="30"/>
        <v>-26.255112232973239</v>
      </c>
    </row>
  </sheetData>
  <mergeCells count="17">
    <mergeCell ref="B2:D2"/>
    <mergeCell ref="E30:F30"/>
    <mergeCell ref="E31:F31"/>
    <mergeCell ref="F3:G5"/>
    <mergeCell ref="B8:D8"/>
    <mergeCell ref="E8:H8"/>
    <mergeCell ref="H27:J31"/>
    <mergeCell ref="A76:A77"/>
    <mergeCell ref="E32:F32"/>
    <mergeCell ref="D23:F23"/>
    <mergeCell ref="H19:J20"/>
    <mergeCell ref="A34:A35"/>
    <mergeCell ref="G38:H38"/>
    <mergeCell ref="G34:H34"/>
    <mergeCell ref="A29:C30"/>
    <mergeCell ref="E27:F28"/>
    <mergeCell ref="D19:F19"/>
  </mergeCell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0"/>
  <sheetViews>
    <sheetView workbookViewId="0">
      <selection activeCell="G100" sqref="G100"/>
    </sheetView>
  </sheetViews>
  <sheetFormatPr baseColWidth="10" defaultRowHeight="15" x14ac:dyDescent="0.25"/>
  <cols>
    <col min="1" max="1" width="26.7109375" customWidth="1"/>
    <col min="2" max="12" width="13.7109375" customWidth="1"/>
    <col min="13" max="13" width="12" bestFit="1" customWidth="1"/>
  </cols>
  <sheetData>
    <row r="1" spans="1:8" x14ac:dyDescent="0.25">
      <c r="A1" t="s">
        <v>0</v>
      </c>
    </row>
    <row r="2" spans="1:8" x14ac:dyDescent="0.25">
      <c r="A2" s="29"/>
      <c r="B2" s="69" t="s">
        <v>134</v>
      </c>
      <c r="C2" s="70"/>
      <c r="D2" s="70"/>
    </row>
    <row r="3" spans="1:8" ht="15" customHeight="1" x14ac:dyDescent="0.25">
      <c r="A3" t="s">
        <v>1</v>
      </c>
      <c r="F3" s="75" t="s">
        <v>315</v>
      </c>
      <c r="G3" s="76"/>
    </row>
    <row r="4" spans="1:8" x14ac:dyDescent="0.25">
      <c r="A4" t="s">
        <v>2</v>
      </c>
      <c r="B4" s="1">
        <v>1</v>
      </c>
      <c r="C4" s="43" t="s">
        <v>51</v>
      </c>
      <c r="D4" s="1">
        <v>90</v>
      </c>
      <c r="F4" s="76"/>
      <c r="G4" s="76"/>
    </row>
    <row r="5" spans="1:8" x14ac:dyDescent="0.25">
      <c r="A5" t="s">
        <v>3</v>
      </c>
      <c r="B5" s="1">
        <v>1</v>
      </c>
      <c r="C5" s="43" t="s">
        <v>52</v>
      </c>
      <c r="D5" s="1">
        <v>90</v>
      </c>
      <c r="F5" s="76"/>
      <c r="G5" s="76"/>
    </row>
    <row r="6" spans="1:8" x14ac:dyDescent="0.25">
      <c r="A6" t="s">
        <v>4</v>
      </c>
      <c r="B6" s="1">
        <v>1</v>
      </c>
      <c r="C6" s="43" t="s">
        <v>53</v>
      </c>
      <c r="D6" s="1">
        <v>90</v>
      </c>
    </row>
    <row r="8" spans="1:8" x14ac:dyDescent="0.25">
      <c r="B8" s="65" t="s">
        <v>284</v>
      </c>
      <c r="C8" s="65"/>
      <c r="D8" s="65"/>
      <c r="E8" s="77" t="s">
        <v>283</v>
      </c>
      <c r="F8" s="80"/>
      <c r="G8" s="80"/>
      <c r="H8" s="80"/>
    </row>
    <row r="9" spans="1:8" x14ac:dyDescent="0.25">
      <c r="A9" t="s">
        <v>5</v>
      </c>
      <c r="B9" s="41" t="s">
        <v>6</v>
      </c>
      <c r="C9" s="41" t="s">
        <v>7</v>
      </c>
      <c r="D9" s="41" t="s">
        <v>8</v>
      </c>
      <c r="E9" s="40"/>
      <c r="F9" s="40" t="s">
        <v>6</v>
      </c>
      <c r="G9" s="40" t="s">
        <v>7</v>
      </c>
      <c r="H9" s="40" t="s">
        <v>8</v>
      </c>
    </row>
    <row r="10" spans="1:8" x14ac:dyDescent="0.25">
      <c r="A10" t="s">
        <v>96</v>
      </c>
      <c r="B10" s="20">
        <v>0</v>
      </c>
      <c r="C10" s="20">
        <v>0</v>
      </c>
      <c r="D10" s="20">
        <v>0</v>
      </c>
      <c r="E10" s="14" t="s">
        <v>82</v>
      </c>
      <c r="F10" s="26">
        <f t="shared" ref="F10:F22" si="0">C168*$G$49+D168*$H$49+E168*$I$49</f>
        <v>1.6666666666666666E-2</v>
      </c>
      <c r="G10" s="26">
        <f t="shared" ref="G10:G22" si="1">C168*$G$50+D168*$H$50+E168*$I$50</f>
        <v>0</v>
      </c>
      <c r="H10" s="26">
        <f t="shared" ref="H10:H22" si="2">C168*$G$51+D168*$H$51+E168*$I$51</f>
        <v>0</v>
      </c>
    </row>
    <row r="11" spans="1:8" x14ac:dyDescent="0.25">
      <c r="A11" t="s">
        <v>9</v>
      </c>
      <c r="B11" s="34">
        <v>0.1</v>
      </c>
      <c r="C11" s="20">
        <v>1</v>
      </c>
      <c r="D11" s="20">
        <f>0.5*(1+(SQRT(5)))</f>
        <v>1.6180339887498949</v>
      </c>
      <c r="E11" s="15" t="s">
        <v>58</v>
      </c>
      <c r="F11" s="26">
        <f t="shared" si="0"/>
        <v>2.1074887586363489E-2</v>
      </c>
      <c r="G11" s="26">
        <f t="shared" si="1"/>
        <v>1.0001687277197027</v>
      </c>
      <c r="H11" s="26">
        <f t="shared" si="2"/>
        <v>1.61832411178304</v>
      </c>
    </row>
    <row r="12" spans="1:8" x14ac:dyDescent="0.25">
      <c r="A12" t="s">
        <v>10</v>
      </c>
      <c r="B12" s="20">
        <v>0</v>
      </c>
      <c r="C12" s="20">
        <v>-1</v>
      </c>
      <c r="D12" s="20">
        <f>0.5*(1+(SQRT(5)))</f>
        <v>1.6180339887498949</v>
      </c>
      <c r="E12" s="15" t="s">
        <v>59</v>
      </c>
      <c r="F12" s="26">
        <f t="shared" si="0"/>
        <v>1.2246685596451361E-2</v>
      </c>
      <c r="G12" s="26">
        <f t="shared" si="1"/>
        <v>-1.0001699257596401</v>
      </c>
      <c r="H12" s="26">
        <f t="shared" si="2"/>
        <v>1.618323339284145</v>
      </c>
    </row>
    <row r="13" spans="1:8" x14ac:dyDescent="0.25">
      <c r="A13" s="21" t="s">
        <v>11</v>
      </c>
      <c r="B13" s="23">
        <f>0.5*(1+(SQRT(5)))</f>
        <v>1.6180339887498949</v>
      </c>
      <c r="C13" s="23">
        <v>0</v>
      </c>
      <c r="D13" s="23">
        <v>1</v>
      </c>
      <c r="E13" s="24" t="s">
        <v>60</v>
      </c>
      <c r="F13" s="27">
        <f t="shared" si="0"/>
        <v>1.6349709977396256</v>
      </c>
      <c r="G13" s="27">
        <f t="shared" si="1"/>
        <v>-7.1425356565374678E-3</v>
      </c>
      <c r="H13" s="27">
        <f t="shared" si="2"/>
        <v>1.0001849445544502</v>
      </c>
    </row>
    <row r="14" spans="1:8" x14ac:dyDescent="0.25">
      <c r="A14" t="s">
        <v>12</v>
      </c>
      <c r="B14" s="20">
        <v>1</v>
      </c>
      <c r="C14" s="20">
        <f>0.5*(1+(SQRT(5)))</f>
        <v>1.6180339887498949</v>
      </c>
      <c r="D14" s="20">
        <v>0</v>
      </c>
      <c r="E14" s="15" t="s">
        <v>61</v>
      </c>
      <c r="F14" s="26">
        <f t="shared" si="0"/>
        <v>1.0239781588394243</v>
      </c>
      <c r="G14" s="26">
        <f t="shared" si="1"/>
        <v>1.6138938641735576</v>
      </c>
      <c r="H14" s="26">
        <f t="shared" si="2"/>
        <v>4.2573818375236241E-6</v>
      </c>
    </row>
    <row r="15" spans="1:8" x14ac:dyDescent="0.25">
      <c r="A15" t="s">
        <v>13</v>
      </c>
      <c r="B15" s="20">
        <v>-1</v>
      </c>
      <c r="C15" s="20">
        <f>0.5*(1+(SQRT(5)))</f>
        <v>1.6180339887498949</v>
      </c>
      <c r="D15" s="20">
        <v>0</v>
      </c>
      <c r="E15" s="15" t="s">
        <v>62</v>
      </c>
      <c r="F15" s="26">
        <f t="shared" si="0"/>
        <v>-0.97636049462686347</v>
      </c>
      <c r="G15" s="26">
        <f t="shared" si="1"/>
        <v>1.6227220661662181</v>
      </c>
      <c r="H15" s="26">
        <f t="shared" si="2"/>
        <v>-3.0074523681114594E-6</v>
      </c>
    </row>
    <row r="16" spans="1:8" x14ac:dyDescent="0.25">
      <c r="A16" s="21" t="s">
        <v>98</v>
      </c>
      <c r="B16" s="23">
        <f>-0.5*(1+(SQRT(5)))</f>
        <v>-1.6180339887498949</v>
      </c>
      <c r="C16" s="23">
        <v>0</v>
      </c>
      <c r="D16" s="23">
        <v>1</v>
      </c>
      <c r="E16" s="25" t="s">
        <v>99</v>
      </c>
      <c r="F16" s="27">
        <f t="shared" si="0"/>
        <v>-1.6016449325790258</v>
      </c>
      <c r="G16" s="27">
        <f t="shared" si="1"/>
        <v>7.1417952271366067E-3</v>
      </c>
      <c r="H16" s="27">
        <f t="shared" si="2"/>
        <v>1.0001731898057828</v>
      </c>
    </row>
    <row r="17" spans="1:11" x14ac:dyDescent="0.25">
      <c r="A17" t="s">
        <v>104</v>
      </c>
      <c r="B17" s="20">
        <v>0.1</v>
      </c>
      <c r="C17" s="20">
        <v>1</v>
      </c>
      <c r="D17" s="20">
        <f>-0.5*(1+(SQRT(5)))</f>
        <v>-1.6180339887498949</v>
      </c>
      <c r="E17" s="16" t="s">
        <v>110</v>
      </c>
      <c r="F17" s="26">
        <f t="shared" si="0"/>
        <v>2.1086647736881972E-2</v>
      </c>
      <c r="G17" s="26">
        <f t="shared" si="1"/>
        <v>1.0001699257596401</v>
      </c>
      <c r="H17" s="26">
        <f t="shared" si="2"/>
        <v>-1.618323339284145</v>
      </c>
    </row>
    <row r="18" spans="1:11" x14ac:dyDescent="0.25">
      <c r="A18" t="s">
        <v>105</v>
      </c>
      <c r="B18" s="20">
        <f>-0.5*(1+(SQRT(5)))</f>
        <v>-1.6180339887498949</v>
      </c>
      <c r="C18" s="20">
        <v>0</v>
      </c>
      <c r="D18" s="20">
        <v>-1</v>
      </c>
      <c r="E18" s="16" t="s">
        <v>111</v>
      </c>
      <c r="F18" s="26">
        <f t="shared" si="0"/>
        <v>-1.6016376644062924</v>
      </c>
      <c r="G18" s="26">
        <f t="shared" si="1"/>
        <v>7.1425356565374678E-3</v>
      </c>
      <c r="H18" s="26">
        <f t="shared" si="2"/>
        <v>-1.0001849445544502</v>
      </c>
    </row>
    <row r="19" spans="1:11" x14ac:dyDescent="0.25">
      <c r="A19" s="21" t="s">
        <v>106</v>
      </c>
      <c r="B19" s="23">
        <v>-1</v>
      </c>
      <c r="C19" s="23">
        <f>-0.5*(1+(SQRT(5)))</f>
        <v>-1.6180339887498949</v>
      </c>
      <c r="D19" s="23">
        <v>0</v>
      </c>
      <c r="E19" s="25" t="s">
        <v>112</v>
      </c>
      <c r="F19" s="27">
        <f t="shared" si="0"/>
        <v>-0.9906448255060909</v>
      </c>
      <c r="G19" s="27">
        <f t="shared" si="1"/>
        <v>-1.6138938641735576</v>
      </c>
      <c r="H19" s="27">
        <f t="shared" si="2"/>
        <v>-4.2573818375236241E-6</v>
      </c>
    </row>
    <row r="20" spans="1:11" x14ac:dyDescent="0.25">
      <c r="A20" t="s">
        <v>107</v>
      </c>
      <c r="B20" s="20">
        <v>1</v>
      </c>
      <c r="C20" s="20">
        <f>-0.5*(1+(SQRT(5)))</f>
        <v>-1.6180339887498949</v>
      </c>
      <c r="D20" s="20">
        <v>0</v>
      </c>
      <c r="E20" s="16" t="s">
        <v>113</v>
      </c>
      <c r="F20" s="26">
        <f t="shared" si="0"/>
        <v>1.0096938279601968</v>
      </c>
      <c r="G20" s="26">
        <f t="shared" si="1"/>
        <v>-1.6227220661662181</v>
      </c>
      <c r="H20" s="26">
        <f t="shared" si="2"/>
        <v>3.0074523681114594E-6</v>
      </c>
    </row>
    <row r="21" spans="1:11" x14ac:dyDescent="0.25">
      <c r="A21" t="s">
        <v>108</v>
      </c>
      <c r="B21" s="20">
        <f>0.5*(1+(SQRT(5)))</f>
        <v>1.6180339887498949</v>
      </c>
      <c r="C21" s="20">
        <v>0</v>
      </c>
      <c r="D21" s="20">
        <v>-1</v>
      </c>
      <c r="E21" s="16" t="s">
        <v>115</v>
      </c>
      <c r="F21" s="26">
        <f t="shared" si="0"/>
        <v>1.6349782659123591</v>
      </c>
      <c r="G21" s="26">
        <f t="shared" si="1"/>
        <v>-7.1417952271366067E-3</v>
      </c>
      <c r="H21" s="26">
        <f t="shared" si="2"/>
        <v>-1.0001731898057828</v>
      </c>
      <c r="K21" s="4"/>
    </row>
    <row r="22" spans="1:11" x14ac:dyDescent="0.25">
      <c r="A22" t="s">
        <v>109</v>
      </c>
      <c r="B22" s="20">
        <v>0</v>
      </c>
      <c r="C22" s="20">
        <v>-1</v>
      </c>
      <c r="D22" s="20">
        <f>-0.5*(1+(SQRT(5)))</f>
        <v>-1.6180339887498949</v>
      </c>
      <c r="E22" s="16" t="s">
        <v>114</v>
      </c>
      <c r="F22" s="26">
        <f t="shared" si="0"/>
        <v>1.225844574696984E-2</v>
      </c>
      <c r="G22" s="26">
        <f t="shared" si="1"/>
        <v>-1.0001687277197027</v>
      </c>
      <c r="H22" s="26">
        <f t="shared" si="2"/>
        <v>-1.61832411178304</v>
      </c>
      <c r="K22" s="4"/>
    </row>
    <row r="23" spans="1:11" x14ac:dyDescent="0.25">
      <c r="G23" s="2"/>
    </row>
    <row r="25" spans="1:11" ht="15" customHeight="1" x14ac:dyDescent="0.25">
      <c r="A25" t="s">
        <v>57</v>
      </c>
      <c r="B25" t="s">
        <v>17</v>
      </c>
      <c r="C25" s="18"/>
      <c r="D25" s="61" t="s">
        <v>18</v>
      </c>
      <c r="E25" s="61"/>
      <c r="F25" s="61"/>
      <c r="H25" s="66" t="s">
        <v>269</v>
      </c>
      <c r="I25" s="66"/>
      <c r="J25" s="66"/>
    </row>
    <row r="26" spans="1:11" x14ac:dyDescent="0.25">
      <c r="A26" t="s">
        <v>19</v>
      </c>
      <c r="B26" s="13">
        <f>H141*100</f>
        <v>4.1486333437350922</v>
      </c>
      <c r="C26" t="s">
        <v>210</v>
      </c>
      <c r="D26" t="s">
        <v>20</v>
      </c>
      <c r="E26" s="3">
        <f>(AVERAGE(B26:B37))</f>
        <v>1.4206225999358466</v>
      </c>
      <c r="F26" t="s">
        <v>210</v>
      </c>
      <c r="H26" s="66"/>
      <c r="I26" s="66"/>
      <c r="J26" s="66"/>
    </row>
    <row r="27" spans="1:11" x14ac:dyDescent="0.25">
      <c r="A27" t="s">
        <v>22</v>
      </c>
      <c r="B27" s="13">
        <f t="shared" ref="B27:B37" si="3">H142*100</f>
        <v>0.64397268800772467</v>
      </c>
      <c r="C27" t="s">
        <v>210</v>
      </c>
      <c r="D27" t="s">
        <v>23</v>
      </c>
      <c r="E27">
        <f>E26*K62/100</f>
        <v>2.7026686343537613E-2</v>
      </c>
      <c r="F27" t="s">
        <v>24</v>
      </c>
      <c r="H27" t="s">
        <v>56</v>
      </c>
      <c r="I27" s="4" t="s">
        <v>29</v>
      </c>
      <c r="J27" s="4" t="s">
        <v>30</v>
      </c>
    </row>
    <row r="28" spans="1:11" x14ac:dyDescent="0.25">
      <c r="A28" t="s">
        <v>25</v>
      </c>
      <c r="B28" s="13">
        <f t="shared" si="3"/>
        <v>0.96624645581965563</v>
      </c>
      <c r="C28" t="s">
        <v>210</v>
      </c>
      <c r="H28" s="9" t="s">
        <v>54</v>
      </c>
      <c r="I28" s="5">
        <v>0.55357397272742059</v>
      </c>
      <c r="J28">
        <f>DEGREES(I28)</f>
        <v>31.717452285571337</v>
      </c>
    </row>
    <row r="29" spans="1:11" x14ac:dyDescent="0.25">
      <c r="A29" t="s">
        <v>26</v>
      </c>
      <c r="B29" s="13">
        <f t="shared" si="3"/>
        <v>1.279030173093326</v>
      </c>
      <c r="C29" t="s">
        <v>210</v>
      </c>
      <c r="D29" s="65" t="s">
        <v>207</v>
      </c>
      <c r="E29" s="65"/>
      <c r="F29" s="65"/>
      <c r="H29" s="9" t="s">
        <v>55</v>
      </c>
      <c r="I29" s="5">
        <v>1.5663888780781265</v>
      </c>
      <c r="J29">
        <f>DEGREES(I29)</f>
        <v>89.747471790108733</v>
      </c>
    </row>
    <row r="30" spans="1:11" ht="15" customHeight="1" x14ac:dyDescent="0.25">
      <c r="A30" t="s">
        <v>28</v>
      </c>
      <c r="B30" s="13">
        <f t="shared" si="3"/>
        <v>1.2667789170778516</v>
      </c>
      <c r="C30" t="s">
        <v>210</v>
      </c>
      <c r="D30" t="s">
        <v>20</v>
      </c>
      <c r="E30">
        <f>E31/K62*100</f>
        <v>0.87606164630410055</v>
      </c>
      <c r="F30" t="s">
        <v>210</v>
      </c>
      <c r="H30" s="9" t="s">
        <v>79</v>
      </c>
      <c r="I30" s="5">
        <v>3.1415857455545675</v>
      </c>
      <c r="J30">
        <f>DEGREES(I30)</f>
        <v>179.99960419873685</v>
      </c>
    </row>
    <row r="31" spans="1:11" x14ac:dyDescent="0.25">
      <c r="A31" t="s">
        <v>100</v>
      </c>
      <c r="B31" s="13">
        <f t="shared" si="3"/>
        <v>0.93975367000869348</v>
      </c>
      <c r="C31" t="s">
        <v>210</v>
      </c>
      <c r="D31" t="s">
        <v>23</v>
      </c>
      <c r="E31">
        <f>H61</f>
        <v>1.6666666666666666E-2</v>
      </c>
      <c r="F31" t="s">
        <v>24</v>
      </c>
    </row>
    <row r="32" spans="1:11" ht="15" customHeight="1" x14ac:dyDescent="0.25">
      <c r="A32" t="s">
        <v>116</v>
      </c>
      <c r="B32" s="13">
        <f t="shared" si="3"/>
        <v>4.1480151783534227</v>
      </c>
      <c r="C32" t="s">
        <v>210</v>
      </c>
    </row>
    <row r="33" spans="1:13" ht="15" customHeight="1" x14ac:dyDescent="0.25">
      <c r="A33" t="s">
        <v>117</v>
      </c>
      <c r="B33" s="13">
        <f t="shared" si="3"/>
        <v>0.94012562727700688</v>
      </c>
      <c r="C33" t="s">
        <v>210</v>
      </c>
      <c r="E33" s="61" t="s">
        <v>274</v>
      </c>
      <c r="F33" s="61"/>
      <c r="H33" s="61" t="s">
        <v>235</v>
      </c>
      <c r="I33" s="61"/>
      <c r="J33" s="61"/>
      <c r="K33" s="4"/>
      <c r="L33" s="4"/>
    </row>
    <row r="34" spans="1:13" x14ac:dyDescent="0.25">
      <c r="A34" t="s">
        <v>118</v>
      </c>
      <c r="B34" s="13">
        <f t="shared" si="3"/>
        <v>0.53774472320388722</v>
      </c>
      <c r="C34" t="s">
        <v>210</v>
      </c>
      <c r="E34" s="61"/>
      <c r="F34" s="61"/>
      <c r="H34" s="61"/>
      <c r="I34" s="61"/>
      <c r="J34" s="61"/>
      <c r="K34" s="4"/>
      <c r="L34" s="4"/>
    </row>
    <row r="35" spans="1:13" x14ac:dyDescent="0.25">
      <c r="A35" t="s">
        <v>119</v>
      </c>
      <c r="B35" s="13">
        <f t="shared" si="3"/>
        <v>0.56600238261398994</v>
      </c>
      <c r="C35" t="s">
        <v>210</v>
      </c>
      <c r="H35" s="61"/>
      <c r="I35" s="61"/>
      <c r="J35" s="61"/>
      <c r="K35" s="4"/>
      <c r="L35" s="4"/>
    </row>
    <row r="36" spans="1:13" x14ac:dyDescent="0.25">
      <c r="A36" t="s">
        <v>120</v>
      </c>
      <c r="B36" s="13">
        <f t="shared" si="3"/>
        <v>0.96657733686329561</v>
      </c>
      <c r="C36" t="s">
        <v>210</v>
      </c>
      <c r="D36" s="2" t="s">
        <v>14</v>
      </c>
      <c r="E36" s="71" t="s">
        <v>15</v>
      </c>
      <c r="F36" s="71"/>
      <c r="H36" s="61"/>
      <c r="I36" s="61"/>
      <c r="J36" s="61"/>
    </row>
    <row r="37" spans="1:13" x14ac:dyDescent="0.25">
      <c r="A37" t="s">
        <v>121</v>
      </c>
      <c r="B37" s="13">
        <f t="shared" si="3"/>
        <v>0.64459070317620915</v>
      </c>
      <c r="C37" t="s">
        <v>210</v>
      </c>
      <c r="D37" s="2"/>
      <c r="E37" s="72" t="s">
        <v>16</v>
      </c>
      <c r="F37" s="72"/>
      <c r="H37" s="61"/>
      <c r="I37" s="61"/>
      <c r="J37" s="61"/>
    </row>
    <row r="38" spans="1:13" x14ac:dyDescent="0.25">
      <c r="D38" s="2"/>
      <c r="E38" s="73" t="s">
        <v>307</v>
      </c>
      <c r="F38" s="74"/>
      <c r="H38" s="4"/>
      <c r="I38" s="4"/>
      <c r="J38" s="4"/>
      <c r="K38" s="4"/>
      <c r="L38" s="4"/>
    </row>
    <row r="39" spans="1:13" x14ac:dyDescent="0.25">
      <c r="H39" s="4"/>
      <c r="I39" s="4"/>
      <c r="J39" s="4"/>
      <c r="K39" s="4"/>
      <c r="L39" s="4"/>
    </row>
    <row r="40" spans="1:13" x14ac:dyDescent="0.25">
      <c r="H40" s="4"/>
      <c r="I40" s="4"/>
      <c r="J40" s="4"/>
      <c r="K40" s="4"/>
      <c r="L40" s="4"/>
    </row>
    <row r="41" spans="1:13" ht="15" customHeight="1" x14ac:dyDescent="0.25">
      <c r="A41" s="61" t="s">
        <v>275</v>
      </c>
      <c r="B41" s="61"/>
      <c r="C41" s="61"/>
      <c r="H41" s="4"/>
      <c r="I41" s="4"/>
      <c r="J41" s="4"/>
      <c r="K41" s="4"/>
      <c r="L41" s="4"/>
    </row>
    <row r="42" spans="1:13" x14ac:dyDescent="0.25">
      <c r="A42" s="61"/>
      <c r="B42" s="61"/>
      <c r="C42" s="61"/>
    </row>
    <row r="44" spans="1:13" ht="15" customHeight="1" x14ac:dyDescent="0.25">
      <c r="A44" s="68" t="s">
        <v>83</v>
      </c>
      <c r="B44" s="7"/>
      <c r="C44" s="8" t="s">
        <v>31</v>
      </c>
      <c r="D44" s="8" t="s">
        <v>32</v>
      </c>
      <c r="E44" s="8" t="s">
        <v>33</v>
      </c>
      <c r="F44" s="8"/>
      <c r="G44" s="61" t="s">
        <v>95</v>
      </c>
      <c r="H44" s="61"/>
    </row>
    <row r="45" spans="1:13" ht="15" customHeight="1" x14ac:dyDescent="0.25">
      <c r="A45" s="68"/>
      <c r="B45" t="s">
        <v>82</v>
      </c>
      <c r="C45">
        <f t="shared" ref="C45:C57" si="4">B10*$G$45+C10*$H$45+D10*$I$45</f>
        <v>0</v>
      </c>
      <c r="D45">
        <f t="shared" ref="D45:D57" si="5">B10*$G$46+C10*$H$46+D10*$I$46</f>
        <v>0</v>
      </c>
      <c r="E45">
        <f t="shared" ref="E45:E57" si="6">B10*$G$47+C10*$H$47+D10*$I$47</f>
        <v>0</v>
      </c>
      <c r="G45">
        <f>B4</f>
        <v>1</v>
      </c>
      <c r="H45">
        <f>B5*(COS(M47))</f>
        <v>6.1257422745431001E-17</v>
      </c>
      <c r="I45">
        <f>B6*(COS(M46))</f>
        <v>6.1257422745431001E-17</v>
      </c>
      <c r="K45" t="s">
        <v>51</v>
      </c>
      <c r="L45">
        <f>D4</f>
        <v>90</v>
      </c>
      <c r="M45">
        <f>RADIANS(L45)</f>
        <v>1.5707963267948966</v>
      </c>
    </row>
    <row r="46" spans="1:13" x14ac:dyDescent="0.25">
      <c r="B46" t="str">
        <f t="shared" ref="B46:B57" si="7">A26</f>
        <v>P1</v>
      </c>
      <c r="C46">
        <f t="shared" si="4"/>
        <v>0.10000000000000016</v>
      </c>
      <c r="D46">
        <f t="shared" si="5"/>
        <v>1</v>
      </c>
      <c r="E46">
        <f t="shared" si="6"/>
        <v>1.6180339887498949</v>
      </c>
      <c r="G46">
        <f>0</f>
        <v>0</v>
      </c>
      <c r="H46">
        <f>B5*(SIN(M47))</f>
        <v>1</v>
      </c>
      <c r="I46">
        <f>(B6*(COS(M45)-COS(M46)*COS(M47)))/(SIN(M47))</f>
        <v>6.1257422745431001E-17</v>
      </c>
      <c r="K46" t="s">
        <v>93</v>
      </c>
      <c r="L46">
        <f>D5</f>
        <v>90</v>
      </c>
      <c r="M46">
        <f>RADIANS(L46)</f>
        <v>1.5707963267948966</v>
      </c>
    </row>
    <row r="47" spans="1:13" x14ac:dyDescent="0.25">
      <c r="B47" t="str">
        <f t="shared" si="7"/>
        <v>P2</v>
      </c>
      <c r="C47">
        <f t="shared" si="4"/>
        <v>3.7859169319897254E-17</v>
      </c>
      <c r="D47">
        <f t="shared" si="5"/>
        <v>-0.99999999999999989</v>
      </c>
      <c r="E47">
        <f t="shared" si="6"/>
        <v>1.6180339887498949</v>
      </c>
      <c r="G47">
        <f>0</f>
        <v>0</v>
      </c>
      <c r="H47">
        <f>0</f>
        <v>0</v>
      </c>
      <c r="I47">
        <f>B6*(SQRT(1-POWER(COS(M46),2)-(POWER(COS(M45)-(COS(M46)*COS(M47)),2))/(POWER(SIN(M47),2))))</f>
        <v>1</v>
      </c>
      <c r="K47" t="s">
        <v>94</v>
      </c>
      <c r="L47">
        <f>D6</f>
        <v>90</v>
      </c>
      <c r="M47">
        <f>RADIANS(L47)</f>
        <v>1.5707963267948966</v>
      </c>
    </row>
    <row r="48" spans="1:13" x14ac:dyDescent="0.25">
      <c r="B48" t="str">
        <f t="shared" si="7"/>
        <v>P3</v>
      </c>
      <c r="C48">
        <f t="shared" si="4"/>
        <v>1.6180339887498949</v>
      </c>
      <c r="D48">
        <f t="shared" si="5"/>
        <v>6.1257422745431001E-17</v>
      </c>
      <c r="E48">
        <f t="shared" si="6"/>
        <v>1</v>
      </c>
      <c r="G48" s="65" t="s">
        <v>272</v>
      </c>
      <c r="H48" s="65"/>
    </row>
    <row r="49" spans="1:11" x14ac:dyDescent="0.25">
      <c r="B49" t="str">
        <f t="shared" si="7"/>
        <v>P4</v>
      </c>
      <c r="C49">
        <f t="shared" si="4"/>
        <v>1</v>
      </c>
      <c r="D49">
        <f t="shared" si="5"/>
        <v>1.6180339887498949</v>
      </c>
      <c r="E49">
        <f t="shared" si="6"/>
        <v>0</v>
      </c>
      <c r="G49" s="6">
        <f>1/G45</f>
        <v>1</v>
      </c>
      <c r="H49">
        <f>-H45/(G45*H46)</f>
        <v>-6.1257422745431001E-17</v>
      </c>
      <c r="I49">
        <f>(H45*I46)/(G45*H46*I47)-I45/(G45*I47)</f>
        <v>-6.1257422745431001E-17</v>
      </c>
    </row>
    <row r="50" spans="1:11" x14ac:dyDescent="0.25">
      <c r="B50" t="str">
        <f t="shared" si="7"/>
        <v>P5</v>
      </c>
      <c r="C50">
        <f t="shared" si="4"/>
        <v>-0.99999999999999989</v>
      </c>
      <c r="D50">
        <f t="shared" si="5"/>
        <v>1.6180339887498949</v>
      </c>
      <c r="E50">
        <f t="shared" si="6"/>
        <v>0</v>
      </c>
      <c r="G50" s="6">
        <f>0</f>
        <v>0</v>
      </c>
      <c r="H50" s="6">
        <f>1/H46</f>
        <v>1</v>
      </c>
      <c r="I50">
        <f>-I46/(H46*I47)</f>
        <v>-6.1257422745431001E-17</v>
      </c>
    </row>
    <row r="51" spans="1:11" x14ac:dyDescent="0.25">
      <c r="B51" t="str">
        <f t="shared" si="7"/>
        <v>P6</v>
      </c>
      <c r="C51">
        <f t="shared" si="4"/>
        <v>-1.6180339887498949</v>
      </c>
      <c r="D51">
        <f t="shared" si="5"/>
        <v>6.1257422745431001E-17</v>
      </c>
      <c r="E51">
        <f t="shared" si="6"/>
        <v>1</v>
      </c>
      <c r="G51" s="6">
        <f>0</f>
        <v>0</v>
      </c>
      <c r="H51">
        <f>0</f>
        <v>0</v>
      </c>
      <c r="I51" s="6">
        <f>1/I47</f>
        <v>1</v>
      </c>
    </row>
    <row r="52" spans="1:11" x14ac:dyDescent="0.25">
      <c r="B52" t="str">
        <f t="shared" si="7"/>
        <v>P7</v>
      </c>
      <c r="C52">
        <f t="shared" si="4"/>
        <v>9.9999999999999964E-2</v>
      </c>
      <c r="D52">
        <f t="shared" si="5"/>
        <v>0.99999999999999989</v>
      </c>
      <c r="E52">
        <f t="shared" si="6"/>
        <v>-1.6180339887498949</v>
      </c>
      <c r="G52" s="6"/>
      <c r="I52" s="6"/>
    </row>
    <row r="53" spans="1:11" x14ac:dyDescent="0.25">
      <c r="B53" t="str">
        <f t="shared" si="7"/>
        <v>P8</v>
      </c>
      <c r="C53">
        <f t="shared" si="4"/>
        <v>-1.6180339887498949</v>
      </c>
      <c r="D53">
        <f t="shared" si="5"/>
        <v>-6.1257422745431001E-17</v>
      </c>
      <c r="E53">
        <f t="shared" si="6"/>
        <v>-1</v>
      </c>
      <c r="G53" s="6"/>
      <c r="I53" s="6"/>
    </row>
    <row r="54" spans="1:11" x14ac:dyDescent="0.25">
      <c r="B54" t="str">
        <f t="shared" si="7"/>
        <v>P9</v>
      </c>
      <c r="C54">
        <f t="shared" si="4"/>
        <v>-1</v>
      </c>
      <c r="D54">
        <f t="shared" si="5"/>
        <v>-1.6180339887498949</v>
      </c>
      <c r="E54">
        <f t="shared" si="6"/>
        <v>0</v>
      </c>
      <c r="G54" s="6"/>
      <c r="I54" s="6"/>
    </row>
    <row r="55" spans="1:11" x14ac:dyDescent="0.25">
      <c r="B55" t="str">
        <f t="shared" si="7"/>
        <v>P10</v>
      </c>
      <c r="C55">
        <f t="shared" si="4"/>
        <v>0.99999999999999989</v>
      </c>
      <c r="D55">
        <f t="shared" si="5"/>
        <v>-1.6180339887498949</v>
      </c>
      <c r="E55">
        <f t="shared" si="6"/>
        <v>0</v>
      </c>
      <c r="G55" s="6"/>
      <c r="I55" s="6"/>
    </row>
    <row r="56" spans="1:11" x14ac:dyDescent="0.25">
      <c r="B56" t="str">
        <f t="shared" si="7"/>
        <v>P11</v>
      </c>
      <c r="C56">
        <f t="shared" si="4"/>
        <v>1.6180339887498949</v>
      </c>
      <c r="D56">
        <f t="shared" si="5"/>
        <v>-6.1257422745431001E-17</v>
      </c>
      <c r="E56">
        <f t="shared" si="6"/>
        <v>-1</v>
      </c>
      <c r="G56" s="6"/>
      <c r="I56" s="6"/>
    </row>
    <row r="57" spans="1:11" x14ac:dyDescent="0.25">
      <c r="B57" t="str">
        <f t="shared" si="7"/>
        <v>P12</v>
      </c>
      <c r="C57">
        <f t="shared" si="4"/>
        <v>-1.6037401481075927E-16</v>
      </c>
      <c r="D57">
        <f t="shared" si="5"/>
        <v>-1</v>
      </c>
      <c r="E57">
        <f t="shared" si="6"/>
        <v>-1.6180339887498949</v>
      </c>
      <c r="G57" s="6"/>
      <c r="I57" s="6"/>
    </row>
    <row r="58" spans="1:11" x14ac:dyDescent="0.25">
      <c r="A58" t="s">
        <v>203</v>
      </c>
      <c r="B58" t="s">
        <v>204</v>
      </c>
      <c r="C58">
        <f>AVERAGE(C46:C57)</f>
        <v>1.6666666666666666E-2</v>
      </c>
      <c r="D58">
        <f>AVERAGE(D46:D57)</f>
        <v>0</v>
      </c>
      <c r="E58">
        <f>AVERAGE(E46:E57)</f>
        <v>0</v>
      </c>
      <c r="G58" s="6"/>
      <c r="I58" s="6"/>
    </row>
    <row r="59" spans="1:11" x14ac:dyDescent="0.25">
      <c r="G59" s="6"/>
    </row>
    <row r="60" spans="1:11" x14ac:dyDescent="0.25">
      <c r="A60" s="19" t="s">
        <v>205</v>
      </c>
      <c r="G60" s="6"/>
    </row>
    <row r="61" spans="1:11" x14ac:dyDescent="0.25">
      <c r="A61" s="30" t="s">
        <v>211</v>
      </c>
      <c r="B61" t="s">
        <v>208</v>
      </c>
      <c r="C61">
        <f>C45-$C$58</f>
        <v>-1.6666666666666666E-2</v>
      </c>
      <c r="D61">
        <f>D45-$D$58</f>
        <v>0</v>
      </c>
      <c r="E61">
        <f>E45-$E$58</f>
        <v>0</v>
      </c>
      <c r="G61" s="6" t="s">
        <v>209</v>
      </c>
      <c r="H61">
        <f>SQRT(POWER(C61,2)+POWER(D61,2)+POWER(E61,2))</f>
        <v>1.6666666666666666E-2</v>
      </c>
    </row>
    <row r="62" spans="1:11" x14ac:dyDescent="0.25">
      <c r="A62" s="4" t="s">
        <v>212</v>
      </c>
      <c r="B62" s="7" t="s">
        <v>36</v>
      </c>
      <c r="C62">
        <f t="shared" ref="C62:C72" si="8">C46-$C$58</f>
        <v>8.3333333333333495E-2</v>
      </c>
      <c r="D62">
        <f t="shared" ref="D62:D73" si="9">D46-$D$58</f>
        <v>1</v>
      </c>
      <c r="E62">
        <f t="shared" ref="E62:E73" si="10">E46-$E$58</f>
        <v>1.6180339887498949</v>
      </c>
      <c r="G62" s="6" t="s">
        <v>37</v>
      </c>
      <c r="H62">
        <f>SQRT(POWER(C62,2)+POWER(D62,2)+POWER(E62,2))</f>
        <v>1.9039376127369141</v>
      </c>
      <c r="J62" s="6" t="s">
        <v>314</v>
      </c>
      <c r="K62">
        <f>AVERAGE(H62:H73)</f>
        <v>1.9024536386200035</v>
      </c>
    </row>
    <row r="63" spans="1:11" x14ac:dyDescent="0.25">
      <c r="A63" s="4" t="s">
        <v>213</v>
      </c>
      <c r="B63" s="7" t="s">
        <v>39</v>
      </c>
      <c r="C63">
        <f t="shared" si="8"/>
        <v>-1.6666666666666628E-2</v>
      </c>
      <c r="D63">
        <f t="shared" si="9"/>
        <v>-0.99999999999999989</v>
      </c>
      <c r="E63">
        <f t="shared" si="10"/>
        <v>1.6180339887498949</v>
      </c>
      <c r="G63" s="6" t="s">
        <v>40</v>
      </c>
      <c r="H63">
        <f t="shared" ref="H63:H73" si="11">SQRT(POWER(C63,2)+POWER(D63,2)+POWER(E63,2))</f>
        <v>1.902186049398868</v>
      </c>
    </row>
    <row r="64" spans="1:11" x14ac:dyDescent="0.25">
      <c r="A64" s="4" t="s">
        <v>214</v>
      </c>
      <c r="B64" s="7" t="s">
        <v>42</v>
      </c>
      <c r="C64">
        <f t="shared" si="8"/>
        <v>1.6013673220832283</v>
      </c>
      <c r="D64">
        <f t="shared" si="9"/>
        <v>6.1257422745431001E-17</v>
      </c>
      <c r="E64">
        <f t="shared" si="10"/>
        <v>1</v>
      </c>
      <c r="G64" s="6" t="s">
        <v>43</v>
      </c>
      <c r="H64">
        <f t="shared" si="11"/>
        <v>1.8879558523005802</v>
      </c>
    </row>
    <row r="65" spans="1:11" x14ac:dyDescent="0.25">
      <c r="A65" s="4" t="s">
        <v>215</v>
      </c>
      <c r="B65" s="7" t="s">
        <v>45</v>
      </c>
      <c r="C65">
        <f t="shared" si="8"/>
        <v>0.98333333333333328</v>
      </c>
      <c r="D65">
        <f t="shared" si="9"/>
        <v>1.6180339887498949</v>
      </c>
      <c r="E65">
        <f t="shared" si="10"/>
        <v>0</v>
      </c>
      <c r="G65" s="6" t="s">
        <v>46</v>
      </c>
      <c r="H65">
        <f t="shared" si="11"/>
        <v>1.8934039276378243</v>
      </c>
    </row>
    <row r="66" spans="1:11" x14ac:dyDescent="0.25">
      <c r="A66" s="4" t="s">
        <v>216</v>
      </c>
      <c r="B66" s="7" t="s">
        <v>48</v>
      </c>
      <c r="C66">
        <f t="shared" si="8"/>
        <v>-1.0166666666666666</v>
      </c>
      <c r="D66">
        <f t="shared" si="9"/>
        <v>1.6180339887498949</v>
      </c>
      <c r="E66">
        <f t="shared" si="10"/>
        <v>0</v>
      </c>
      <c r="G66" s="6" t="s">
        <v>49</v>
      </c>
      <c r="H66">
        <f t="shared" si="11"/>
        <v>1.9109278112636818</v>
      </c>
    </row>
    <row r="67" spans="1:11" x14ac:dyDescent="0.25">
      <c r="A67" s="4" t="s">
        <v>217</v>
      </c>
      <c r="B67" s="7" t="s">
        <v>102</v>
      </c>
      <c r="C67">
        <f t="shared" si="8"/>
        <v>-1.6347006554165615</v>
      </c>
      <c r="D67">
        <f t="shared" si="9"/>
        <v>6.1257422745431001E-17</v>
      </c>
      <c r="E67">
        <f t="shared" si="10"/>
        <v>1</v>
      </c>
      <c r="G67" s="6" t="s">
        <v>135</v>
      </c>
      <c r="H67">
        <f t="shared" si="11"/>
        <v>1.9163105783821515</v>
      </c>
    </row>
    <row r="68" spans="1:11" x14ac:dyDescent="0.25">
      <c r="A68" s="4" t="s">
        <v>218</v>
      </c>
      <c r="B68" s="7" t="s">
        <v>122</v>
      </c>
      <c r="C68">
        <f t="shared" si="8"/>
        <v>8.3333333333333301E-2</v>
      </c>
      <c r="D68">
        <f t="shared" si="9"/>
        <v>0.99999999999999989</v>
      </c>
      <c r="E68">
        <f t="shared" si="10"/>
        <v>-1.6180339887498949</v>
      </c>
      <c r="G68" s="6" t="s">
        <v>136</v>
      </c>
      <c r="H68">
        <f t="shared" si="11"/>
        <v>1.9039376127369141</v>
      </c>
    </row>
    <row r="69" spans="1:11" x14ac:dyDescent="0.25">
      <c r="A69" s="4" t="s">
        <v>219</v>
      </c>
      <c r="B69" s="7" t="s">
        <v>123</v>
      </c>
      <c r="C69">
        <f t="shared" si="8"/>
        <v>-1.6347006554165615</v>
      </c>
      <c r="D69">
        <f t="shared" si="9"/>
        <v>-6.1257422745431001E-17</v>
      </c>
      <c r="E69">
        <f t="shared" si="10"/>
        <v>-1</v>
      </c>
      <c r="G69" s="6" t="s">
        <v>137</v>
      </c>
      <c r="H69">
        <f t="shared" si="11"/>
        <v>1.9163105783821515</v>
      </c>
    </row>
    <row r="70" spans="1:11" x14ac:dyDescent="0.25">
      <c r="A70" s="4" t="s">
        <v>220</v>
      </c>
      <c r="B70" s="7" t="s">
        <v>124</v>
      </c>
      <c r="C70">
        <f t="shared" si="8"/>
        <v>-1.0166666666666666</v>
      </c>
      <c r="D70">
        <f t="shared" si="9"/>
        <v>-1.6180339887498949</v>
      </c>
      <c r="E70">
        <f t="shared" si="10"/>
        <v>0</v>
      </c>
      <c r="G70" s="6" t="s">
        <v>138</v>
      </c>
      <c r="H70">
        <f t="shared" si="11"/>
        <v>1.9109278112636818</v>
      </c>
    </row>
    <row r="71" spans="1:11" x14ac:dyDescent="0.25">
      <c r="A71" s="4" t="s">
        <v>221</v>
      </c>
      <c r="B71" s="7" t="s">
        <v>125</v>
      </c>
      <c r="C71">
        <f t="shared" si="8"/>
        <v>0.98333333333333317</v>
      </c>
      <c r="D71">
        <f t="shared" si="9"/>
        <v>-1.6180339887498949</v>
      </c>
      <c r="E71">
        <f t="shared" si="10"/>
        <v>0</v>
      </c>
      <c r="G71" s="6" t="s">
        <v>139</v>
      </c>
      <c r="H71">
        <f t="shared" si="11"/>
        <v>1.8934039276378243</v>
      </c>
    </row>
    <row r="72" spans="1:11" x14ac:dyDescent="0.25">
      <c r="A72" s="4" t="s">
        <v>222</v>
      </c>
      <c r="B72" s="7" t="s">
        <v>126</v>
      </c>
      <c r="C72">
        <f t="shared" si="8"/>
        <v>1.6013673220832283</v>
      </c>
      <c r="D72">
        <f t="shared" si="9"/>
        <v>-6.1257422745431001E-17</v>
      </c>
      <c r="E72">
        <f t="shared" si="10"/>
        <v>-1</v>
      </c>
      <c r="G72" s="6" t="s">
        <v>140</v>
      </c>
      <c r="H72">
        <f t="shared" si="11"/>
        <v>1.8879558523005802</v>
      </c>
    </row>
    <row r="73" spans="1:11" x14ac:dyDescent="0.25">
      <c r="A73" s="4" t="s">
        <v>223</v>
      </c>
      <c r="B73" s="7" t="s">
        <v>127</v>
      </c>
      <c r="C73">
        <f>C57-$C$58</f>
        <v>-1.6666666666666826E-2</v>
      </c>
      <c r="D73">
        <f t="shared" si="9"/>
        <v>-1</v>
      </c>
      <c r="E73">
        <f t="shared" si="10"/>
        <v>-1.6180339887498949</v>
      </c>
      <c r="G73" s="6" t="s">
        <v>141</v>
      </c>
      <c r="H73">
        <f t="shared" si="11"/>
        <v>1.902186049398868</v>
      </c>
    </row>
    <row r="75" spans="1:11" x14ac:dyDescent="0.25">
      <c r="A75" s="17" t="s">
        <v>157</v>
      </c>
      <c r="B75" s="7" t="str">
        <f t="shared" ref="B75:B86" si="12">B62</f>
        <v>vector P1</v>
      </c>
      <c r="C75">
        <f>C62/$K$62</f>
        <v>4.3803082315205112E-2</v>
      </c>
      <c r="D75">
        <f>D62/$K$62</f>
        <v>0.52563698778246037</v>
      </c>
      <c r="E75">
        <f>E62/$K$62</f>
        <v>0.85049851197613413</v>
      </c>
      <c r="G75" s="6" t="str">
        <f>G62</f>
        <v>length of vector P1</v>
      </c>
      <c r="H75">
        <f>SQRT(POWER(C75,2)+POWER(D75,2)+POWER(E75,2))</f>
        <v>1.0007800316847602</v>
      </c>
      <c r="J75" s="6" t="s">
        <v>314</v>
      </c>
      <c r="K75">
        <f>AVERAGE(H75:H86)</f>
        <v>1</v>
      </c>
    </row>
    <row r="76" spans="1:11" x14ac:dyDescent="0.25">
      <c r="A76" s="4"/>
      <c r="B76" s="7" t="str">
        <f t="shared" si="12"/>
        <v>vector P2</v>
      </c>
      <c r="C76">
        <f t="shared" ref="C76:D86" si="13">C63/$K$62</f>
        <v>-8.7606164630409863E-3</v>
      </c>
      <c r="D76">
        <f t="shared" si="13"/>
        <v>-0.52563698778246026</v>
      </c>
      <c r="E76">
        <f>E63/$K$62</f>
        <v>0.85049851197613413</v>
      </c>
      <c r="G76" s="6" t="s">
        <v>37</v>
      </c>
      <c r="H76">
        <f t="shared" ref="H76:H86" si="14">SQRT(POWER(C76,2)+POWER(D76,2)+POWER(E76,2))</f>
        <v>0.99985934520783926</v>
      </c>
    </row>
    <row r="77" spans="1:11" x14ac:dyDescent="0.25">
      <c r="A77" s="4"/>
      <c r="B77" s="7" t="str">
        <f t="shared" si="12"/>
        <v>vector P3</v>
      </c>
      <c r="C77">
        <f t="shared" si="13"/>
        <v>0.84173789551309308</v>
      </c>
      <c r="D77">
        <f t="shared" si="13"/>
        <v>3.2199167171225122E-17</v>
      </c>
      <c r="E77">
        <f>E64/$K$62</f>
        <v>0.52563698778246037</v>
      </c>
      <c r="G77" s="6" t="s">
        <v>40</v>
      </c>
      <c r="H77">
        <f t="shared" si="14"/>
        <v>0.99237942726954453</v>
      </c>
    </row>
    <row r="78" spans="1:11" x14ac:dyDescent="0.25">
      <c r="A78" s="4"/>
      <c r="B78" s="7" t="str">
        <f t="shared" si="12"/>
        <v>vector P4</v>
      </c>
      <c r="C78">
        <f t="shared" si="13"/>
        <v>0.51687637131941933</v>
      </c>
      <c r="D78">
        <f t="shared" si="13"/>
        <v>0.85049851197613413</v>
      </c>
      <c r="E78">
        <f>E65/$K$62</f>
        <v>0</v>
      </c>
      <c r="G78" s="6" t="s">
        <v>43</v>
      </c>
      <c r="H78">
        <f t="shared" si="14"/>
        <v>0.99524313717902557</v>
      </c>
    </row>
    <row r="79" spans="1:11" x14ac:dyDescent="0.25">
      <c r="A79" s="4"/>
      <c r="B79" s="7" t="str">
        <f t="shared" si="12"/>
        <v>vector P5</v>
      </c>
      <c r="C79">
        <f t="shared" si="13"/>
        <v>-0.53439760424550131</v>
      </c>
      <c r="D79">
        <f t="shared" si="13"/>
        <v>0.85049851197613413</v>
      </c>
      <c r="E79">
        <f>E66/$K$62</f>
        <v>0</v>
      </c>
      <c r="G79" s="6" t="s">
        <v>46</v>
      </c>
      <c r="H79">
        <f t="shared" si="14"/>
        <v>1.0044543385823717</v>
      </c>
    </row>
    <row r="80" spans="1:11" x14ac:dyDescent="0.25">
      <c r="B80" s="7" t="str">
        <f t="shared" si="12"/>
        <v>vector P6</v>
      </c>
      <c r="C80">
        <f t="shared" si="13"/>
        <v>-0.85925912843917507</v>
      </c>
      <c r="D80">
        <f t="shared" si="13"/>
        <v>3.2199167171225122E-17</v>
      </c>
      <c r="E80">
        <f>E67/$K$62</f>
        <v>0.52563698778246037</v>
      </c>
      <c r="G80" s="6" t="s">
        <v>49</v>
      </c>
      <c r="H80">
        <f t="shared" si="14"/>
        <v>1.0072837200764584</v>
      </c>
    </row>
    <row r="81" spans="1:11" x14ac:dyDescent="0.25">
      <c r="B81" s="7" t="str">
        <f t="shared" si="12"/>
        <v>vector P7</v>
      </c>
      <c r="C81">
        <f>C68/$K$62</f>
        <v>4.3803082315205008E-2</v>
      </c>
      <c r="D81">
        <f>D68/$K$62</f>
        <v>0.52563698778246026</v>
      </c>
      <c r="E81">
        <f t="shared" ref="E81:E86" si="15">E68/$K$62</f>
        <v>-0.85049851197613413</v>
      </c>
      <c r="G81" s="6" t="s">
        <v>135</v>
      </c>
      <c r="H81">
        <f t="shared" si="14"/>
        <v>1.0007800316847602</v>
      </c>
    </row>
    <row r="82" spans="1:11" x14ac:dyDescent="0.25">
      <c r="B82" s="7" t="str">
        <f t="shared" si="12"/>
        <v>vector P8</v>
      </c>
      <c r="C82">
        <f t="shared" si="13"/>
        <v>-0.85925912843917507</v>
      </c>
      <c r="D82">
        <f>D69/$K$62</f>
        <v>-3.2199167171225122E-17</v>
      </c>
      <c r="E82">
        <f t="shared" si="15"/>
        <v>-0.52563698778246037</v>
      </c>
      <c r="G82" s="6" t="s">
        <v>136</v>
      </c>
      <c r="H82">
        <f t="shared" si="14"/>
        <v>1.0072837200764584</v>
      </c>
    </row>
    <row r="83" spans="1:11" x14ac:dyDescent="0.25">
      <c r="B83" s="7" t="str">
        <f t="shared" si="12"/>
        <v>vector P9</v>
      </c>
      <c r="C83">
        <f t="shared" si="13"/>
        <v>-0.53439760424550131</v>
      </c>
      <c r="D83">
        <f>D70/$K$62</f>
        <v>-0.85049851197613413</v>
      </c>
      <c r="E83">
        <f t="shared" si="15"/>
        <v>0</v>
      </c>
      <c r="G83" s="6" t="s">
        <v>137</v>
      </c>
      <c r="H83">
        <f t="shared" si="14"/>
        <v>1.0044543385823717</v>
      </c>
    </row>
    <row r="84" spans="1:11" x14ac:dyDescent="0.25">
      <c r="B84" s="7" t="str">
        <f t="shared" si="12"/>
        <v>vector P10</v>
      </c>
      <c r="C84">
        <f t="shared" si="13"/>
        <v>0.51687637131941921</v>
      </c>
      <c r="D84">
        <f>D71/$K$62</f>
        <v>-0.85049851197613413</v>
      </c>
      <c r="E84">
        <f t="shared" si="15"/>
        <v>0</v>
      </c>
      <c r="G84" s="6" t="s">
        <v>138</v>
      </c>
      <c r="H84">
        <f t="shared" si="14"/>
        <v>0.99524313717902546</v>
      </c>
    </row>
    <row r="85" spans="1:11" x14ac:dyDescent="0.25">
      <c r="B85" s="7" t="str">
        <f t="shared" si="12"/>
        <v>vector P11</v>
      </c>
      <c r="C85">
        <f t="shared" si="13"/>
        <v>0.84173789551309308</v>
      </c>
      <c r="D85">
        <f>D72/$K$62</f>
        <v>-3.2199167171225122E-17</v>
      </c>
      <c r="E85">
        <f t="shared" si="15"/>
        <v>-0.52563698778246037</v>
      </c>
      <c r="G85" s="6" t="s">
        <v>139</v>
      </c>
      <c r="H85">
        <f t="shared" si="14"/>
        <v>0.99237942726954453</v>
      </c>
    </row>
    <row r="86" spans="1:11" x14ac:dyDescent="0.25">
      <c r="B86" s="7" t="str">
        <f t="shared" si="12"/>
        <v>vector P12</v>
      </c>
      <c r="C86">
        <f t="shared" si="13"/>
        <v>-8.7606164630410887E-3</v>
      </c>
      <c r="D86">
        <f>D73/$K$62</f>
        <v>-0.52563698778246037</v>
      </c>
      <c r="E86">
        <f t="shared" si="15"/>
        <v>-0.85049851197613413</v>
      </c>
      <c r="G86" s="6" t="s">
        <v>140</v>
      </c>
      <c r="H86">
        <f t="shared" si="14"/>
        <v>0.99985934520783937</v>
      </c>
    </row>
    <row r="88" spans="1:11" x14ac:dyDescent="0.25">
      <c r="A88" s="12" t="s">
        <v>182</v>
      </c>
      <c r="B88" s="7">
        <f>ACOS((E88*F88+E89*F89+E90*F90)/(SQRT(E88^2+E89^2+E90^2)*SQRT(F88^2+F89^2+F90^2)))</f>
        <v>1.1071487177940904</v>
      </c>
      <c r="C88">
        <f>DEGREES(B88)</f>
        <v>63.43494882292201</v>
      </c>
      <c r="E88">
        <v>0</v>
      </c>
      <c r="F88">
        <v>1</v>
      </c>
    </row>
    <row r="89" spans="1:11" x14ac:dyDescent="0.25">
      <c r="B89" s="7"/>
      <c r="E89">
        <v>1</v>
      </c>
      <c r="F89">
        <f>0.5*(1+(SQRT(5)))</f>
        <v>1.6180339887498949</v>
      </c>
    </row>
    <row r="90" spans="1:11" x14ac:dyDescent="0.25">
      <c r="A90" s="12" t="s">
        <v>183</v>
      </c>
      <c r="B90" s="7">
        <f>RADIANS(C90)</f>
        <v>1.2566370614359172</v>
      </c>
      <c r="C90">
        <v>72</v>
      </c>
      <c r="E90">
        <f>0.5*(1+(SQRT(5)))</f>
        <v>1.6180339887498949</v>
      </c>
      <c r="F90">
        <v>0</v>
      </c>
    </row>
    <row r="92" spans="1:11" x14ac:dyDescent="0.25">
      <c r="A92" s="67" t="s">
        <v>162</v>
      </c>
      <c r="C92">
        <f>(C97^2)*(1-COS(B90))+COS(B90)</f>
        <v>0.30902070430656303</v>
      </c>
      <c r="D92">
        <f>C97*D97*(1-COS(B90))-E97*SIN(B90)</f>
        <v>-0.80817545160945725</v>
      </c>
      <c r="E92">
        <f>C97*E97*(1-COS(B90))+D97*SIN(B90)</f>
        <v>0.50135680281185524</v>
      </c>
    </row>
    <row r="93" spans="1:11" x14ac:dyDescent="0.25">
      <c r="A93" s="68"/>
      <c r="B93" t="s">
        <v>360</v>
      </c>
      <c r="C93">
        <f>D97*C97*(1-COS(B90))+E97*SIN(B90)</f>
        <v>0.80985892330994158</v>
      </c>
      <c r="D93">
        <f>(D97^2)*(1-COS(B90))+COS(B90)</f>
        <v>0.49999605140247705</v>
      </c>
      <c r="E93">
        <f>D97*E97*(1-COS(B90))-C97*SIN(B90)</f>
        <v>0.30681015778033438</v>
      </c>
    </row>
    <row r="94" spans="1:11" x14ac:dyDescent="0.25">
      <c r="C94">
        <f>E97*C97*(1-COS(B90))-D97*SIN(B90)</f>
        <v>-0.4986328595721885</v>
      </c>
      <c r="D94">
        <f>D97*E97*(1-COS(B90))+C97*SIN(B90)</f>
        <v>0.31121758947363709</v>
      </c>
      <c r="E94">
        <f>(E97^2)*(1-COS(B90))+COS(B90)</f>
        <v>0.80901723304085482</v>
      </c>
    </row>
    <row r="96" spans="1:11" x14ac:dyDescent="0.25">
      <c r="A96" s="19" t="s">
        <v>181</v>
      </c>
      <c r="B96" s="7"/>
      <c r="C96" t="s">
        <v>63</v>
      </c>
      <c r="D96" t="s">
        <v>64</v>
      </c>
      <c r="E96" t="s">
        <v>65</v>
      </c>
      <c r="J96" t="s">
        <v>87</v>
      </c>
      <c r="K96" t="s">
        <v>88</v>
      </c>
    </row>
    <row r="97" spans="1:15" x14ac:dyDescent="0.25">
      <c r="B97" s="7" t="str">
        <f t="shared" ref="B97:B108" si="16">E11</f>
        <v>P1*</v>
      </c>
      <c r="C97">
        <f>SIN($I$28)*COS($I$29)</f>
        <v>2.3171239657091502E-3</v>
      </c>
      <c r="D97">
        <f>SIN($I$28)*SIN($I$29)</f>
        <v>0.52572567731280029</v>
      </c>
      <c r="E97">
        <f>COS($I$28)</f>
        <v>0.85065101137336274</v>
      </c>
      <c r="G97" s="6" t="s">
        <v>67</v>
      </c>
      <c r="H97">
        <f>SQRT(POWER(C97,2)+POWER(D97,2)+POWER(E97,2))</f>
        <v>1</v>
      </c>
      <c r="I97" s="6"/>
      <c r="J97">
        <f>ACOS((C97*C98+D97*D98+E97*E98)/(SQRT(C97^2+D97^2+E97^2)*SQRT(C98^2+D98^2+E98^2)))</f>
        <v>1.1071487177940902</v>
      </c>
      <c r="K97">
        <f>DEGREES(J97)</f>
        <v>63.434948822921996</v>
      </c>
      <c r="L97" t="s">
        <v>158</v>
      </c>
      <c r="M97">
        <f>ACOS((C97*C100+D97*D100+E97*E100)/(SQRT(C97^2+D97^2+E97^2)*SQRT(C100^2+D100^2+E100^2)))</f>
        <v>1.1071487177940902</v>
      </c>
      <c r="N97">
        <f>DEGREES(M97)</f>
        <v>63.434948822921996</v>
      </c>
      <c r="O97" t="s">
        <v>166</v>
      </c>
    </row>
    <row r="98" spans="1:15" x14ac:dyDescent="0.25">
      <c r="B98" s="7" t="str">
        <f t="shared" si="16"/>
        <v>P2*</v>
      </c>
      <c r="C98">
        <f>SIN($I$28+B88)*COS($I$29)</f>
        <v>4.3896255412017651E-3</v>
      </c>
      <c r="D98">
        <f>SIN($I$28+B88)*SIN($I$29)</f>
        <v>0.99594967509284205</v>
      </c>
      <c r="E98">
        <f>COS(B88+$I$28)</f>
        <v>-8.9805210706675728E-2</v>
      </c>
      <c r="G98" s="6" t="s">
        <v>68</v>
      </c>
      <c r="H98">
        <f t="shared" ref="H98:H108" si="17">SQRT(POWER(C98,2)+POWER(D98,2)+POWER(E98,2))</f>
        <v>1</v>
      </c>
      <c r="J98">
        <f>ACOS((C98*C99+D98*D99+E98*E99)/(SQRT(C98^2+D98^2+E98^2)*SQRT(C99^2+D99^2+E99^2)))</f>
        <v>1.1071487177940902</v>
      </c>
      <c r="K98">
        <f>DEGREES(J98)</f>
        <v>63.434948822921996</v>
      </c>
      <c r="L98" t="s">
        <v>159</v>
      </c>
      <c r="M98">
        <f>ACOS((C98*C102+D98*D102+E98*E102)/(SQRT(C98^2+D98^2+E98^2)*SQRT(C102^2+D102^2+E102^2)))</f>
        <v>1.1071487177940904</v>
      </c>
      <c r="N98">
        <f>DEGREES(M98)</f>
        <v>63.43494882292201</v>
      </c>
      <c r="O98" t="s">
        <v>167</v>
      </c>
    </row>
    <row r="99" spans="1:15" x14ac:dyDescent="0.25">
      <c r="B99" s="7" t="str">
        <f t="shared" si="16"/>
        <v>P3*</v>
      </c>
      <c r="C99">
        <f>C98*$C$92+D98*$D$92+E98*$E$92</f>
        <v>-0.84857004658780955</v>
      </c>
      <c r="D99">
        <f>C98*$C$93+D98*$D$93+E98*$E$93</f>
        <v>0.47397273149012115</v>
      </c>
      <c r="E99">
        <f>C98*$C$94+D98*$D$94+E98*$E$94</f>
        <v>0.23511428250482008</v>
      </c>
      <c r="G99" s="6" t="s">
        <v>69</v>
      </c>
      <c r="H99">
        <f t="shared" si="17"/>
        <v>1</v>
      </c>
      <c r="J99">
        <f>ACOS((C99*C100+D99*D100+E99*E100)/(SQRT(C99^2+D99^2+E99^2)*SQRT(C100^2+D100^2+E100^2)))</f>
        <v>1.1071487177940904</v>
      </c>
      <c r="K99">
        <f>DEGREES(J99)</f>
        <v>63.43494882292201</v>
      </c>
      <c r="L99" t="s">
        <v>160</v>
      </c>
    </row>
    <row r="100" spans="1:15" x14ac:dyDescent="0.25">
      <c r="B100" s="7" t="str">
        <f t="shared" si="16"/>
        <v>P4*</v>
      </c>
      <c r="C100">
        <f>C99*$C$92+D99*$D$92+E99*$E$92</f>
        <v>-0.52740269480059465</v>
      </c>
      <c r="D100">
        <f>C99*$C$93+D99*$D$93+E99*$E$93</f>
        <v>-0.37810207995344941</v>
      </c>
      <c r="E100">
        <f>C99*$C$94+D99*$D$94+E99*$E$94</f>
        <v>0.76084506612841107</v>
      </c>
      <c r="G100" s="6" t="s">
        <v>70</v>
      </c>
      <c r="H100">
        <f t="shared" si="17"/>
        <v>1</v>
      </c>
      <c r="J100">
        <f t="shared" ref="J100:J107" si="18">ACOS((C100*C101+D100*D101+E100*E101)/(SQRT(C100^2+D100^2+E100^2)*SQRT(C101^2+D101^2+E101^2)))</f>
        <v>1.1071487177940902</v>
      </c>
      <c r="K100">
        <f>DEGREES(J100)</f>
        <v>63.434948822921996</v>
      </c>
      <c r="L100" t="s">
        <v>161</v>
      </c>
      <c r="M100">
        <f>ACOS((C100*C102+D100*D102+E100*E102)/(SQRT(C100^2+D100^2+E100^2)*SQRT(C102^2+D102^2+E102^2)))</f>
        <v>2.0344439357957023</v>
      </c>
      <c r="N100">
        <f>DEGREES(M100)</f>
        <v>116.56505117707796</v>
      </c>
    </row>
    <row r="101" spans="1:15" x14ac:dyDescent="0.25">
      <c r="B101" s="7" t="str">
        <f t="shared" si="16"/>
        <v>P5*</v>
      </c>
      <c r="C101">
        <f>C100*$C$92+D100*$D$92+E100*$E$92</f>
        <v>0.52404931680970979</v>
      </c>
      <c r="D101">
        <f>C100*$C$93+D100*$D$93+E100*$E$93</f>
        <v>-0.38273633078051295</v>
      </c>
      <c r="E101">
        <f>C100*$C$94+D100*$D$94+E100*$E$94</f>
        <v>0.76084506612841118</v>
      </c>
      <c r="G101" s="6" t="s">
        <v>71</v>
      </c>
      <c r="H101">
        <f t="shared" si="17"/>
        <v>1</v>
      </c>
      <c r="J101">
        <f t="shared" si="18"/>
        <v>1.1071487177940902</v>
      </c>
      <c r="K101">
        <f>DEGREES(J101)</f>
        <v>63.434948822921996</v>
      </c>
      <c r="L101" t="s">
        <v>149</v>
      </c>
      <c r="M101">
        <f>ACOS((C101*C103+D101*D103+E101*E103)/(SQRT(C101^2+D101^2+E101^2)*SQRT(C103^2+D103^2+E103^2)))</f>
        <v>1.1071487177940906</v>
      </c>
      <c r="N101">
        <f>DEGREES(M101)</f>
        <v>63.434948822922017</v>
      </c>
    </row>
    <row r="102" spans="1:15" x14ac:dyDescent="0.25">
      <c r="B102" s="7" t="str">
        <f t="shared" si="16"/>
        <v>P6*</v>
      </c>
      <c r="C102">
        <f>C101*$C$92+D101*$D$92+E101*$E$92</f>
        <v>0.85271504573711221</v>
      </c>
      <c r="D102">
        <f>C101*$C$93+D101*$D$93+E101*$E$93</f>
        <v>0.46647435613954003</v>
      </c>
      <c r="E102">
        <f>C101*$C$94+D101*$D$94+E101*$E$94</f>
        <v>0.23511428250482019</v>
      </c>
      <c r="G102" s="6" t="s">
        <v>142</v>
      </c>
      <c r="H102">
        <f t="shared" si="17"/>
        <v>1</v>
      </c>
      <c r="J102">
        <f>ACOS((C102*C103+D102*D103+E102*E103)/(SQRT(C102^2+D102^2+E102^2)*SQRT(C103^2+D103^2+E103^2)))</f>
        <v>2.0344439357957027</v>
      </c>
      <c r="K102">
        <f t="shared" ref="K102:K107" si="19">DEGREES(J102)</f>
        <v>116.56505117707799</v>
      </c>
      <c r="L102" t="s">
        <v>150</v>
      </c>
      <c r="M102">
        <f>ACOS((C102*C104+D102*D104+E102*E104)/(SQRT(C102^2+D102^2+E102^2)*SQRT(C104^2+D104^2+E104^2)))</f>
        <v>1.1071487177940906</v>
      </c>
      <c r="N102">
        <f>DEGREES(M102)</f>
        <v>63.434948822922017</v>
      </c>
    </row>
    <row r="103" spans="1:15" x14ac:dyDescent="0.25">
      <c r="B103" s="7" t="str">
        <f t="shared" si="16"/>
        <v>P7*</v>
      </c>
      <c r="C103">
        <f>-C98</f>
        <v>-4.3896255412017651E-3</v>
      </c>
      <c r="D103">
        <f t="shared" ref="D103:E107" si="20">-D98</f>
        <v>-0.99594967509284205</v>
      </c>
      <c r="E103">
        <f t="shared" si="20"/>
        <v>8.9805210706675728E-2</v>
      </c>
      <c r="G103" s="6" t="s">
        <v>143</v>
      </c>
      <c r="H103">
        <f t="shared" si="17"/>
        <v>1</v>
      </c>
      <c r="J103">
        <f t="shared" si="18"/>
        <v>1.1071487177940902</v>
      </c>
      <c r="K103">
        <f t="shared" si="19"/>
        <v>63.434948822921996</v>
      </c>
      <c r="L103" t="s">
        <v>151</v>
      </c>
      <c r="M103">
        <f>ACOS((C103*C105+D103*D105+E103*E105)/(SQRT(C103^2+D103^2+E103^2)*SQRT(C105^2+D105^2+E105^2)))</f>
        <v>2.0344439357957023</v>
      </c>
      <c r="N103">
        <f>DEGREES(M103)</f>
        <v>116.56505117707796</v>
      </c>
    </row>
    <row r="104" spans="1:15" x14ac:dyDescent="0.25">
      <c r="B104" s="7" t="str">
        <f t="shared" si="16"/>
        <v>P8*</v>
      </c>
      <c r="C104">
        <f>-C99</f>
        <v>0.84857004658780955</v>
      </c>
      <c r="D104">
        <f t="shared" si="20"/>
        <v>-0.47397273149012115</v>
      </c>
      <c r="E104">
        <f t="shared" si="20"/>
        <v>-0.23511428250482008</v>
      </c>
      <c r="G104" s="6" t="s">
        <v>144</v>
      </c>
      <c r="H104">
        <f>SQRT(POWER(C104,2)+POWER(D104,2)+POWER(E104,2))</f>
        <v>1</v>
      </c>
      <c r="J104">
        <f t="shared" si="18"/>
        <v>1.1071487177940904</v>
      </c>
      <c r="K104">
        <f t="shared" si="19"/>
        <v>63.43494882292201</v>
      </c>
      <c r="L104" t="s">
        <v>152</v>
      </c>
      <c r="M104">
        <f>ACOS((C104*C100+D104*D100+E104*E100)/(SQRT(C104^2+D104^2+E104^2)*SQRT(C100^2+D100^2+E100^2)))</f>
        <v>2.0344439357957027</v>
      </c>
      <c r="N104">
        <f>DEGREES(M104)</f>
        <v>116.56505117707799</v>
      </c>
    </row>
    <row r="105" spans="1:15" x14ac:dyDescent="0.25">
      <c r="B105" s="7" t="str">
        <f t="shared" si="16"/>
        <v>P9*</v>
      </c>
      <c r="C105">
        <f>-C100</f>
        <v>0.52740269480059465</v>
      </c>
      <c r="D105">
        <f t="shared" si="20"/>
        <v>0.37810207995344941</v>
      </c>
      <c r="E105">
        <f t="shared" si="20"/>
        <v>-0.76084506612841107</v>
      </c>
      <c r="G105" s="6" t="s">
        <v>145</v>
      </c>
      <c r="H105">
        <f t="shared" si="17"/>
        <v>1</v>
      </c>
      <c r="J105">
        <f>ACOS((C105*C106+D105*D106+E105*E106)/(SQRT(C105^2+D105^2+E105^2)*SQRT(C106^2+D106^2+E106^2)))</f>
        <v>1.1071487177940902</v>
      </c>
      <c r="K105">
        <f t="shared" si="19"/>
        <v>63.434948822921996</v>
      </c>
      <c r="L105" t="s">
        <v>153</v>
      </c>
    </row>
    <row r="106" spans="1:15" x14ac:dyDescent="0.25">
      <c r="B106" s="7" t="str">
        <f t="shared" si="16"/>
        <v>P10*</v>
      </c>
      <c r="C106">
        <f>-C101</f>
        <v>-0.52404931680970979</v>
      </c>
      <c r="D106">
        <f t="shared" si="20"/>
        <v>0.38273633078051295</v>
      </c>
      <c r="E106">
        <f t="shared" si="20"/>
        <v>-0.76084506612841118</v>
      </c>
      <c r="G106" s="6" t="s">
        <v>146</v>
      </c>
      <c r="H106">
        <f t="shared" si="17"/>
        <v>1</v>
      </c>
      <c r="J106">
        <f>ACOS((C106*C107+D106*D107+E106*E107)/(SQRT(C106^2+D106^2+E106^2)*SQRT(C107^2+D107^2+E107^2)))</f>
        <v>1.1071487177940902</v>
      </c>
      <c r="K106">
        <f t="shared" si="19"/>
        <v>63.434948822921996</v>
      </c>
      <c r="L106" t="s">
        <v>154</v>
      </c>
    </row>
    <row r="107" spans="1:15" x14ac:dyDescent="0.25">
      <c r="B107" s="7" t="str">
        <f t="shared" si="16"/>
        <v>P11*</v>
      </c>
      <c r="C107">
        <f>-C102</f>
        <v>-0.85271504573711221</v>
      </c>
      <c r="D107">
        <f t="shared" si="20"/>
        <v>-0.46647435613954003</v>
      </c>
      <c r="E107">
        <f t="shared" si="20"/>
        <v>-0.23511428250482019</v>
      </c>
      <c r="G107" s="6" t="s">
        <v>147</v>
      </c>
      <c r="H107">
        <f>SQRT(POWER(C107,2)+POWER(D107,2)+POWER(E107,2))</f>
        <v>1</v>
      </c>
      <c r="J107">
        <f t="shared" si="18"/>
        <v>1.1071487177940902</v>
      </c>
      <c r="K107">
        <f t="shared" si="19"/>
        <v>63.434948822921996</v>
      </c>
      <c r="L107" t="s">
        <v>155</v>
      </c>
    </row>
    <row r="108" spans="1:15" x14ac:dyDescent="0.25">
      <c r="B108" s="7" t="str">
        <f t="shared" si="16"/>
        <v>P12*</v>
      </c>
      <c r="C108">
        <f>-C97</f>
        <v>-2.3171239657091502E-3</v>
      </c>
      <c r="D108">
        <f>-D97</f>
        <v>-0.52572567731280029</v>
      </c>
      <c r="E108">
        <f>-E97</f>
        <v>-0.85065101137336274</v>
      </c>
      <c r="G108" s="6" t="s">
        <v>148</v>
      </c>
      <c r="H108">
        <f t="shared" si="17"/>
        <v>1</v>
      </c>
      <c r="J108">
        <f>ACOS((C108*C97+D108*D97+E108*E97)/(SQRT(C108^2+D108^2+E108^2)*SQRT(C97^2+D97^2+E97^2)))</f>
        <v>3.1415926535897931</v>
      </c>
      <c r="K108">
        <f>DEGREES(J108)</f>
        <v>180</v>
      </c>
      <c r="L108" t="s">
        <v>156</v>
      </c>
    </row>
    <row r="109" spans="1:15" x14ac:dyDescent="0.25">
      <c r="B109" s="7"/>
      <c r="G109" s="6"/>
    </row>
    <row r="110" spans="1:15" x14ac:dyDescent="0.25">
      <c r="A110" s="12" t="s">
        <v>86</v>
      </c>
      <c r="B110" s="7" t="s">
        <v>73</v>
      </c>
      <c r="C110">
        <f t="shared" ref="C110:E121" si="21">C97-C75</f>
        <v>-4.1485958349495963E-2</v>
      </c>
      <c r="D110">
        <f t="shared" si="21"/>
        <v>8.868953033991378E-5</v>
      </c>
      <c r="E110">
        <f t="shared" si="21"/>
        <v>1.524993972286115E-4</v>
      </c>
      <c r="G110" s="6" t="s">
        <v>78</v>
      </c>
      <c r="H110">
        <f>SQRT(POWER(C110,2)+POWER(D110,2)+POWER(E110,2))</f>
        <v>4.148633343735092E-2</v>
      </c>
    </row>
    <row r="111" spans="1:15" x14ac:dyDescent="0.25">
      <c r="B111" s="7" t="s">
        <v>74</v>
      </c>
      <c r="C111">
        <f t="shared" si="21"/>
        <v>1.3150242004242751E-2</v>
      </c>
      <c r="D111">
        <f t="shared" si="21"/>
        <v>1.5215866628753023</v>
      </c>
      <c r="E111">
        <f t="shared" si="21"/>
        <v>-0.94030372268280982</v>
      </c>
      <c r="G111" s="6" t="s">
        <v>78</v>
      </c>
      <c r="H111">
        <f>SQRT(POWER(C111,2)+POWER(D111,2)+POWER(E111,2))</f>
        <v>1.7887341871826343</v>
      </c>
    </row>
    <row r="112" spans="1:15" x14ac:dyDescent="0.25">
      <c r="B112" s="7" t="s">
        <v>75</v>
      </c>
      <c r="C112">
        <f t="shared" si="21"/>
        <v>-1.6903079421009026</v>
      </c>
      <c r="D112">
        <f t="shared" si="21"/>
        <v>0.47397273149012109</v>
      </c>
      <c r="E112">
        <f t="shared" si="21"/>
        <v>-0.29052270527764029</v>
      </c>
      <c r="G112" s="6" t="s">
        <v>78</v>
      </c>
      <c r="H112">
        <f t="shared" ref="H112:H121" si="22">SQRT(POWER(C112,2)+POWER(D112,2)+POWER(E112,2))</f>
        <v>1.7793803785608724</v>
      </c>
    </row>
    <row r="113" spans="1:12" x14ac:dyDescent="0.25">
      <c r="B113" s="7" t="s">
        <v>76</v>
      </c>
      <c r="C113">
        <f t="shared" si="21"/>
        <v>-1.0442790661200139</v>
      </c>
      <c r="D113">
        <f t="shared" si="21"/>
        <v>-1.2286005919295835</v>
      </c>
      <c r="E113">
        <f t="shared" si="21"/>
        <v>0.76084506612841107</v>
      </c>
      <c r="G113" s="6" t="s">
        <v>78</v>
      </c>
      <c r="H113">
        <f t="shared" si="22"/>
        <v>1.7829367338966791</v>
      </c>
    </row>
    <row r="114" spans="1:12" x14ac:dyDescent="0.25">
      <c r="B114" s="7" t="s">
        <v>77</v>
      </c>
      <c r="C114">
        <f t="shared" si="21"/>
        <v>1.0584469210552112</v>
      </c>
      <c r="D114">
        <f t="shared" si="21"/>
        <v>-1.2332348427566471</v>
      </c>
      <c r="E114">
        <f t="shared" si="21"/>
        <v>0.76084506612841118</v>
      </c>
      <c r="G114" s="6" t="s">
        <v>78</v>
      </c>
      <c r="H114">
        <f t="shared" si="22"/>
        <v>1.794453475778131</v>
      </c>
    </row>
    <row r="115" spans="1:12" x14ac:dyDescent="0.25">
      <c r="B115" s="7" t="s">
        <v>103</v>
      </c>
      <c r="C115">
        <f t="shared" si="21"/>
        <v>1.7119741741762873</v>
      </c>
      <c r="D115">
        <f t="shared" si="21"/>
        <v>0.46647435613953997</v>
      </c>
      <c r="E115">
        <f t="shared" si="21"/>
        <v>-0.29052270527764018</v>
      </c>
      <c r="G115" s="6" t="s">
        <v>78</v>
      </c>
      <c r="H115">
        <f t="shared" si="22"/>
        <v>1.7980148331602321</v>
      </c>
    </row>
    <row r="116" spans="1:12" x14ac:dyDescent="0.25">
      <c r="B116" s="7" t="s">
        <v>128</v>
      </c>
      <c r="C116">
        <f t="shared" si="21"/>
        <v>-4.8192707856406773E-2</v>
      </c>
      <c r="D116">
        <f t="shared" si="21"/>
        <v>-1.5215866628753023</v>
      </c>
      <c r="E116">
        <f t="shared" si="21"/>
        <v>0.94030372268280982</v>
      </c>
      <c r="G116" s="6" t="s">
        <v>78</v>
      </c>
      <c r="H116">
        <f t="shared" si="22"/>
        <v>1.7893349604313</v>
      </c>
    </row>
    <row r="117" spans="1:12" x14ac:dyDescent="0.25">
      <c r="B117" s="7" t="s">
        <v>129</v>
      </c>
      <c r="C117">
        <f t="shared" si="21"/>
        <v>1.7078291750269847</v>
      </c>
      <c r="D117">
        <f t="shared" si="21"/>
        <v>-0.47397273149012109</v>
      </c>
      <c r="E117">
        <f t="shared" si="21"/>
        <v>0.29052270527764029</v>
      </c>
      <c r="G117" s="6" t="s">
        <v>78</v>
      </c>
      <c r="H117">
        <f t="shared" si="22"/>
        <v>1.796032873739063</v>
      </c>
    </row>
    <row r="118" spans="1:12" x14ac:dyDescent="0.25">
      <c r="B118" s="7" t="s">
        <v>130</v>
      </c>
      <c r="C118">
        <f t="shared" si="21"/>
        <v>1.061800299046096</v>
      </c>
      <c r="D118">
        <f t="shared" si="21"/>
        <v>1.2286005919295835</v>
      </c>
      <c r="E118">
        <f t="shared" si="21"/>
        <v>-0.76084506612841107</v>
      </c>
      <c r="G118" s="6" t="s">
        <v>78</v>
      </c>
      <c r="H118">
        <f t="shared" si="22"/>
        <v>1.7932552813796612</v>
      </c>
    </row>
    <row r="119" spans="1:12" x14ac:dyDescent="0.25">
      <c r="B119" s="7" t="s">
        <v>131</v>
      </c>
      <c r="C119">
        <f t="shared" si="21"/>
        <v>-1.0409256881291289</v>
      </c>
      <c r="D119">
        <f t="shared" si="21"/>
        <v>1.2332348427566471</v>
      </c>
      <c r="E119">
        <f t="shared" si="21"/>
        <v>-0.76084506612841118</v>
      </c>
      <c r="G119" s="6" t="s">
        <v>78</v>
      </c>
      <c r="H119">
        <f t="shared" si="22"/>
        <v>1.7841747897131768</v>
      </c>
    </row>
    <row r="120" spans="1:12" x14ac:dyDescent="0.25">
      <c r="B120" s="7" t="s">
        <v>132</v>
      </c>
      <c r="C120">
        <f t="shared" si="21"/>
        <v>-1.6944529412502054</v>
      </c>
      <c r="D120">
        <f t="shared" si="21"/>
        <v>-0.46647435613953997</v>
      </c>
      <c r="E120">
        <f t="shared" si="21"/>
        <v>0.29052270527764018</v>
      </c>
      <c r="G120" s="6" t="s">
        <v>78</v>
      </c>
      <c r="H120">
        <f t="shared" si="22"/>
        <v>1.7813400959191115</v>
      </c>
    </row>
    <row r="121" spans="1:12" x14ac:dyDescent="0.25">
      <c r="B121" s="7" t="s">
        <v>133</v>
      </c>
      <c r="C121">
        <f t="shared" si="21"/>
        <v>6.4434924973319381E-3</v>
      </c>
      <c r="D121">
        <f t="shared" si="21"/>
        <v>-8.868953033991378E-5</v>
      </c>
      <c r="E121">
        <f t="shared" si="21"/>
        <v>-1.524993972286115E-4</v>
      </c>
      <c r="G121" s="6" t="s">
        <v>78</v>
      </c>
      <c r="H121">
        <f t="shared" si="22"/>
        <v>6.4459070317620919E-3</v>
      </c>
    </row>
    <row r="122" spans="1:12" x14ac:dyDescent="0.25">
      <c r="B122" s="7"/>
    </row>
    <row r="124" spans="1:12" x14ac:dyDescent="0.25">
      <c r="A124" s="67" t="s">
        <v>162</v>
      </c>
      <c r="C124">
        <f>(C97^2)*(1-COS($I$30))+COS($I$30)</f>
        <v>-0.99998926184919468</v>
      </c>
      <c r="D124">
        <f>C97*D97*(1-COS($I$30))-E97*SIN($I$30)</f>
        <v>2.430466805399923E-3</v>
      </c>
      <c r="E124">
        <f>C97*E97*(1-COS($I$30))+D97*SIN($I$30)</f>
        <v>3.9457594212667906E-3</v>
      </c>
    </row>
    <row r="125" spans="1:12" x14ac:dyDescent="0.25">
      <c r="A125" s="68"/>
      <c r="B125" t="s">
        <v>237</v>
      </c>
      <c r="C125">
        <f>D97*C97*(1-COS($I$30))+E97*SIN($I$30)</f>
        <v>2.4422194597026039E-3</v>
      </c>
      <c r="D125">
        <f>(D97^2)*(1-COS($I$30))+COS($I$30)</f>
        <v>-0.44722502441072898</v>
      </c>
      <c r="E125">
        <f>D97*E97*(1-COS($I$30))-C97*SIN($I$30)</f>
        <v>0.89441814220471483</v>
      </c>
    </row>
    <row r="126" spans="1:12" x14ac:dyDescent="0.25">
      <c r="C126">
        <f>E97*C97*(1-COS($I$30))-D97*SIN($I$30)</f>
        <v>3.9384959582709315E-3</v>
      </c>
      <c r="D126">
        <f>D97*E97*(1-COS($I$30))+C97*SIN($I$30)</f>
        <v>0.89441817421826286</v>
      </c>
      <c r="E126">
        <f>(E97^2)*(1-COS($I$30))+COS($I$30)</f>
        <v>0.4472142863076447</v>
      </c>
    </row>
    <row r="127" spans="1:12" x14ac:dyDescent="0.25">
      <c r="J127" t="s">
        <v>87</v>
      </c>
      <c r="K127" t="s">
        <v>88</v>
      </c>
    </row>
    <row r="128" spans="1:12" x14ac:dyDescent="0.25">
      <c r="A128" s="19" t="s">
        <v>202</v>
      </c>
      <c r="B128" s="7" t="str">
        <f t="shared" ref="B128:B139" si="23">B97</f>
        <v>P1*</v>
      </c>
      <c r="C128">
        <f t="shared" ref="C128:C139" si="24">C97*$C$124+D97*$D$124+E97*$E$124</f>
        <v>2.317123965709151E-3</v>
      </c>
      <c r="D128">
        <f t="shared" ref="D128:D139" si="25">C97*$C$125+D97*$D$125+E97*$E$125</f>
        <v>0.52572567731280029</v>
      </c>
      <c r="E128">
        <f t="shared" ref="E128:E139" si="26">C97*$C$126+D97*$D$126+E97*$E$126</f>
        <v>0.85065101137336274</v>
      </c>
      <c r="G128" t="str">
        <f>G97</f>
        <v>length of vector P1*</v>
      </c>
      <c r="H128">
        <f>H97</f>
        <v>1</v>
      </c>
      <c r="J128">
        <f>ACOS((C128*C129+D128*D129+E128*E129)/(SQRT(C128^2+D128^2+E128^2)*SQRT(C129^2+D129^2+E129^2)))</f>
        <v>1.1071487177940902</v>
      </c>
      <c r="K128">
        <f t="shared" ref="K128:K139" si="27">DEGREES(J128)</f>
        <v>63.434948822921996</v>
      </c>
      <c r="L128" t="s">
        <v>81</v>
      </c>
    </row>
    <row r="129" spans="1:12" ht="15" customHeight="1" x14ac:dyDescent="0.25">
      <c r="B129" s="7" t="str">
        <f t="shared" si="23"/>
        <v>P2*</v>
      </c>
      <c r="C129">
        <f t="shared" si="24"/>
        <v>-2.3233055358034493E-3</v>
      </c>
      <c r="D129">
        <f t="shared" si="25"/>
        <v>-0.52572630704690426</v>
      </c>
      <c r="E129">
        <f t="shared" si="26"/>
        <v>0.85065060531937053</v>
      </c>
      <c r="G129" s="6" t="s">
        <v>67</v>
      </c>
      <c r="H129">
        <f>SQRT(POWER(C129,2)+POWER(D129,2)+POWER(E129,2))</f>
        <v>1</v>
      </c>
      <c r="J129">
        <f t="shared" ref="J129:J139" si="28">ACOS((C129*C130+D129*D130+E129*E130)/(SQRT(C129^2+D129^2+E129^2)*SQRT(C130^2+D130^2+E130^2)))</f>
        <v>1.1071487177940902</v>
      </c>
      <c r="K129">
        <f t="shared" si="27"/>
        <v>63.434948822921996</v>
      </c>
      <c r="L129" t="s">
        <v>89</v>
      </c>
    </row>
    <row r="130" spans="1:12" ht="15" customHeight="1" x14ac:dyDescent="0.25">
      <c r="B130" s="7" t="str">
        <f t="shared" si="23"/>
        <v>P3*</v>
      </c>
      <c r="C130">
        <f t="shared" si="24"/>
        <v>0.85064061390049961</v>
      </c>
      <c r="D130">
        <f t="shared" si="25"/>
        <v>-3.7543809276311402E-3</v>
      </c>
      <c r="E130">
        <f t="shared" si="26"/>
        <v>0.52573420148096828</v>
      </c>
      <c r="G130" s="6" t="s">
        <v>68</v>
      </c>
      <c r="H130">
        <f>SQRT(POWER(C130,2)+POWER(D130,2)+POWER(E130,2))</f>
        <v>0.99999999999999989</v>
      </c>
      <c r="J130">
        <f t="shared" si="28"/>
        <v>1.1071487177940902</v>
      </c>
      <c r="K130">
        <f t="shared" si="27"/>
        <v>63.434948822921996</v>
      </c>
      <c r="L130" t="s">
        <v>90</v>
      </c>
    </row>
    <row r="131" spans="1:12" ht="15" customHeight="1" x14ac:dyDescent="0.25">
      <c r="B131" s="7" t="str">
        <f t="shared" si="23"/>
        <v>P4*</v>
      </c>
      <c r="C131">
        <f t="shared" si="24"/>
        <v>0.5294801785043437</v>
      </c>
      <c r="D131">
        <f t="shared" si="25"/>
        <v>0.84832230936478403</v>
      </c>
      <c r="E131">
        <f t="shared" si="26"/>
        <v>2.2378373649156735E-6</v>
      </c>
      <c r="G131" s="6" t="s">
        <v>69</v>
      </c>
      <c r="H131">
        <f>SQRT(POWER(C131,2)+POWER(D131,2)+POWER(E131,2))</f>
        <v>1</v>
      </c>
      <c r="J131">
        <f t="shared" si="28"/>
        <v>1.1071487177940902</v>
      </c>
      <c r="K131">
        <f t="shared" si="27"/>
        <v>63.434948822921996</v>
      </c>
      <c r="L131" t="s">
        <v>91</v>
      </c>
    </row>
    <row r="132" spans="1:12" ht="15" customHeight="1" x14ac:dyDescent="0.25">
      <c r="B132" s="7" t="str">
        <f t="shared" si="23"/>
        <v>P5*</v>
      </c>
      <c r="C132">
        <f t="shared" si="24"/>
        <v>-0.52197180584849856</v>
      </c>
      <c r="D132">
        <f t="shared" si="25"/>
        <v>0.85296273886774121</v>
      </c>
      <c r="E132">
        <f t="shared" si="26"/>
        <v>-1.5808282036733345E-6</v>
      </c>
      <c r="G132" s="6" t="s">
        <v>70</v>
      </c>
      <c r="H132">
        <f>SQRT(POWER(C132,2)+POWER(D132,2)+POWER(E132,2))</f>
        <v>1</v>
      </c>
      <c r="J132">
        <f t="shared" si="28"/>
        <v>1.1071487177940902</v>
      </c>
      <c r="K132">
        <f t="shared" si="27"/>
        <v>63.434948822921996</v>
      </c>
    </row>
    <row r="133" spans="1:12" ht="15" customHeight="1" x14ac:dyDescent="0.25">
      <c r="B133" s="7" t="str">
        <f t="shared" si="23"/>
        <v>P6*</v>
      </c>
      <c r="C133">
        <f t="shared" si="24"/>
        <v>-0.85064443432092185</v>
      </c>
      <c r="D133">
        <f t="shared" si="25"/>
        <v>3.7539917305512704E-3</v>
      </c>
      <c r="E133">
        <f t="shared" si="26"/>
        <v>0.52572802275028663</v>
      </c>
      <c r="F133" s="7"/>
      <c r="G133" s="7" t="str">
        <f t="shared" ref="G133:H139" si="29">G102</f>
        <v>length of vector P6*</v>
      </c>
      <c r="H133" s="7">
        <f t="shared" si="29"/>
        <v>1</v>
      </c>
      <c r="J133">
        <f t="shared" si="28"/>
        <v>2.0344439357957027</v>
      </c>
      <c r="K133">
        <f t="shared" si="27"/>
        <v>116.56505117707799</v>
      </c>
    </row>
    <row r="134" spans="1:12" ht="15" customHeight="1" x14ac:dyDescent="0.25">
      <c r="B134" s="7" t="str">
        <f t="shared" si="23"/>
        <v>P7*</v>
      </c>
      <c r="C134">
        <f t="shared" si="24"/>
        <v>2.3233055358034493E-3</v>
      </c>
      <c r="D134">
        <f t="shared" si="25"/>
        <v>0.52572630704690426</v>
      </c>
      <c r="E134">
        <f t="shared" si="26"/>
        <v>-0.85065060531937053</v>
      </c>
      <c r="F134" s="7"/>
      <c r="G134" s="7" t="str">
        <f t="shared" si="29"/>
        <v>length of vector P7*</v>
      </c>
      <c r="H134" s="7">
        <f t="shared" si="29"/>
        <v>1</v>
      </c>
      <c r="J134">
        <f t="shared" si="28"/>
        <v>1.1071487177940902</v>
      </c>
      <c r="K134">
        <f t="shared" si="27"/>
        <v>63.434948822921996</v>
      </c>
    </row>
    <row r="135" spans="1:12" ht="15" customHeight="1" x14ac:dyDescent="0.25">
      <c r="B135" s="7" t="str">
        <f t="shared" si="23"/>
        <v>P8*</v>
      </c>
      <c r="C135">
        <f t="shared" si="24"/>
        <v>-0.85064061390049961</v>
      </c>
      <c r="D135">
        <f t="shared" si="25"/>
        <v>3.7543809276311402E-3</v>
      </c>
      <c r="E135">
        <f t="shared" si="26"/>
        <v>-0.52573420148096828</v>
      </c>
      <c r="F135" s="7"/>
      <c r="G135" s="7" t="str">
        <f t="shared" si="29"/>
        <v>length of vector P8*</v>
      </c>
      <c r="H135" s="7">
        <f t="shared" si="29"/>
        <v>1</v>
      </c>
      <c r="J135">
        <f t="shared" si="28"/>
        <v>1.1071487177940902</v>
      </c>
      <c r="K135">
        <f t="shared" si="27"/>
        <v>63.434948822921996</v>
      </c>
    </row>
    <row r="136" spans="1:12" ht="15" customHeight="1" x14ac:dyDescent="0.25">
      <c r="B136" s="7" t="str">
        <f t="shared" si="23"/>
        <v>P9*</v>
      </c>
      <c r="C136">
        <f t="shared" si="24"/>
        <v>-0.5294801785043437</v>
      </c>
      <c r="D136">
        <f t="shared" si="25"/>
        <v>-0.84832230936478403</v>
      </c>
      <c r="E136">
        <f t="shared" si="26"/>
        <v>-2.2378373649156735E-6</v>
      </c>
      <c r="F136" s="7"/>
      <c r="G136" s="7" t="str">
        <f t="shared" si="29"/>
        <v>length of vector P9*</v>
      </c>
      <c r="H136" s="7">
        <f t="shared" si="29"/>
        <v>1</v>
      </c>
      <c r="J136">
        <f t="shared" si="28"/>
        <v>1.1071487177940902</v>
      </c>
      <c r="K136">
        <f t="shared" si="27"/>
        <v>63.434948822921996</v>
      </c>
    </row>
    <row r="137" spans="1:12" ht="15" customHeight="1" x14ac:dyDescent="0.25">
      <c r="B137" s="7" t="str">
        <f t="shared" si="23"/>
        <v>P10*</v>
      </c>
      <c r="C137">
        <f t="shared" si="24"/>
        <v>0.52197180584849856</v>
      </c>
      <c r="D137">
        <f t="shared" si="25"/>
        <v>-0.85296273886774121</v>
      </c>
      <c r="E137">
        <f t="shared" si="26"/>
        <v>1.5808282036733345E-6</v>
      </c>
      <c r="F137" s="7"/>
      <c r="G137" s="7" t="str">
        <f t="shared" si="29"/>
        <v>length of vector P10*</v>
      </c>
      <c r="H137" s="7">
        <f t="shared" si="29"/>
        <v>1</v>
      </c>
      <c r="J137">
        <f t="shared" si="28"/>
        <v>1.1071487177940902</v>
      </c>
      <c r="K137">
        <f t="shared" si="27"/>
        <v>63.434948822921996</v>
      </c>
    </row>
    <row r="138" spans="1:12" ht="15" customHeight="1" x14ac:dyDescent="0.25">
      <c r="B138" s="7" t="str">
        <f t="shared" si="23"/>
        <v>P11*</v>
      </c>
      <c r="C138">
        <f t="shared" si="24"/>
        <v>0.85064443432092185</v>
      </c>
      <c r="D138">
        <f t="shared" si="25"/>
        <v>-3.7539917305512704E-3</v>
      </c>
      <c r="E138">
        <f t="shared" si="26"/>
        <v>-0.52572802275028663</v>
      </c>
      <c r="F138" s="7"/>
      <c r="G138" s="7" t="str">
        <f t="shared" si="29"/>
        <v>length of vector P11*</v>
      </c>
      <c r="H138" s="7">
        <f t="shared" si="29"/>
        <v>1</v>
      </c>
      <c r="J138">
        <f t="shared" si="28"/>
        <v>1.1071487177940902</v>
      </c>
      <c r="K138">
        <f t="shared" si="27"/>
        <v>63.434948822921996</v>
      </c>
    </row>
    <row r="139" spans="1:12" ht="15" customHeight="1" x14ac:dyDescent="0.25">
      <c r="B139" s="7" t="str">
        <f t="shared" si="23"/>
        <v>P12*</v>
      </c>
      <c r="C139">
        <f t="shared" si="24"/>
        <v>-2.317123965709151E-3</v>
      </c>
      <c r="D139">
        <f t="shared" si="25"/>
        <v>-0.52572567731280029</v>
      </c>
      <c r="E139">
        <f t="shared" si="26"/>
        <v>-0.85065101137336274</v>
      </c>
      <c r="F139" s="7"/>
      <c r="G139" s="7" t="str">
        <f t="shared" si="29"/>
        <v>length of vector P12*</v>
      </c>
      <c r="H139" s="7">
        <f t="shared" si="29"/>
        <v>1</v>
      </c>
      <c r="J139" t="e">
        <f t="shared" si="28"/>
        <v>#DIV/0!</v>
      </c>
      <c r="K139" t="e">
        <f t="shared" si="27"/>
        <v>#DIV/0!</v>
      </c>
    </row>
    <row r="140" spans="1:12" ht="15" customHeight="1" x14ac:dyDescent="0.25">
      <c r="B140" s="7"/>
      <c r="C140" s="7"/>
      <c r="D140" s="7"/>
      <c r="E140" s="7"/>
      <c r="G140" s="6"/>
    </row>
    <row r="141" spans="1:12" ht="15" customHeight="1" x14ac:dyDescent="0.25">
      <c r="A141" s="12" t="s">
        <v>72</v>
      </c>
      <c r="B141" t="str">
        <f>B110</f>
        <v>P1*-P1</v>
      </c>
      <c r="C141">
        <f t="shared" ref="C141:E152" si="30">C128-C75</f>
        <v>-4.1485958349495963E-2</v>
      </c>
      <c r="D141">
        <f t="shared" si="30"/>
        <v>8.868953033991378E-5</v>
      </c>
      <c r="E141">
        <f t="shared" si="30"/>
        <v>1.524993972286115E-4</v>
      </c>
      <c r="G141" s="6" t="s">
        <v>78</v>
      </c>
      <c r="H141">
        <f t="shared" ref="H141:H152" si="31">SQRT(POWER(C141,2)+POWER(D141,2)+POWER(E141,2))</f>
        <v>4.148633343735092E-2</v>
      </c>
    </row>
    <row r="142" spans="1:12" x14ac:dyDescent="0.25">
      <c r="B142" s="7" t="s">
        <v>73</v>
      </c>
      <c r="C142">
        <f t="shared" si="30"/>
        <v>6.4373109272375367E-3</v>
      </c>
      <c r="D142">
        <f t="shared" si="30"/>
        <v>-8.9319264443998847E-5</v>
      </c>
      <c r="E142">
        <f t="shared" si="30"/>
        <v>1.5209334323640356E-4</v>
      </c>
      <c r="G142" s="6" t="s">
        <v>78</v>
      </c>
      <c r="H142">
        <f t="shared" si="31"/>
        <v>6.439726880077247E-3</v>
      </c>
    </row>
    <row r="143" spans="1:12" x14ac:dyDescent="0.25">
      <c r="B143" s="7" t="s">
        <v>74</v>
      </c>
      <c r="C143">
        <f t="shared" si="30"/>
        <v>8.9027183874065274E-3</v>
      </c>
      <c r="D143">
        <f t="shared" si="30"/>
        <v>-3.7543809276311723E-3</v>
      </c>
      <c r="E143">
        <f t="shared" si="30"/>
        <v>9.7213698507903068E-5</v>
      </c>
      <c r="G143" s="6" t="s">
        <v>78</v>
      </c>
      <c r="H143">
        <f t="shared" si="31"/>
        <v>9.6624645581965558E-3</v>
      </c>
    </row>
    <row r="144" spans="1:12" x14ac:dyDescent="0.25">
      <c r="B144" s="7" t="s">
        <v>75</v>
      </c>
      <c r="C144">
        <f t="shared" si="30"/>
        <v>1.2603807184924376E-2</v>
      </c>
      <c r="D144">
        <f t="shared" si="30"/>
        <v>-2.1762026113500976E-3</v>
      </c>
      <c r="E144">
        <f t="shared" si="30"/>
        <v>2.2378373649156735E-6</v>
      </c>
      <c r="G144" s="6" t="s">
        <v>78</v>
      </c>
      <c r="H144">
        <f t="shared" si="31"/>
        <v>1.2790301730933261E-2</v>
      </c>
    </row>
    <row r="145" spans="1:8" x14ac:dyDescent="0.25">
      <c r="B145" s="7" t="s">
        <v>76</v>
      </c>
      <c r="C145">
        <f t="shared" si="30"/>
        <v>1.2425798397002752E-2</v>
      </c>
      <c r="D145">
        <f t="shared" si="30"/>
        <v>2.4642268916070798E-3</v>
      </c>
      <c r="E145">
        <f t="shared" si="30"/>
        <v>-1.5808282036733345E-6</v>
      </c>
      <c r="G145" s="6" t="s">
        <v>78</v>
      </c>
      <c r="H145">
        <f t="shared" si="31"/>
        <v>1.2667789170778517E-2</v>
      </c>
    </row>
    <row r="146" spans="1:8" x14ac:dyDescent="0.25">
      <c r="B146" t="str">
        <f>B115</f>
        <v>P6*-P6</v>
      </c>
      <c r="C146">
        <f t="shared" si="30"/>
        <v>8.6146941182532188E-3</v>
      </c>
      <c r="D146">
        <f t="shared" si="30"/>
        <v>3.7539917305512384E-3</v>
      </c>
      <c r="E146">
        <f t="shared" si="30"/>
        <v>9.1034967826253421E-5</v>
      </c>
      <c r="G146" s="6" t="s">
        <v>78</v>
      </c>
      <c r="H146">
        <f t="shared" si="31"/>
        <v>9.3975367000869343E-3</v>
      </c>
    </row>
    <row r="147" spans="1:8" x14ac:dyDescent="0.25">
      <c r="B147" t="str">
        <f t="shared" ref="B147:B152" si="32">B116</f>
        <v>P6*-P7</v>
      </c>
      <c r="C147">
        <f t="shared" si="30"/>
        <v>-4.147977677940156E-2</v>
      </c>
      <c r="D147">
        <f t="shared" si="30"/>
        <v>8.9319264443998847E-5</v>
      </c>
      <c r="E147">
        <f t="shared" si="30"/>
        <v>-1.5209334323640356E-4</v>
      </c>
      <c r="G147" s="6" t="s">
        <v>78</v>
      </c>
      <c r="H147">
        <f t="shared" si="31"/>
        <v>4.148015178353423E-2</v>
      </c>
    </row>
    <row r="148" spans="1:8" x14ac:dyDescent="0.25">
      <c r="B148" t="str">
        <f t="shared" si="32"/>
        <v>P6*-P8</v>
      </c>
      <c r="C148">
        <f t="shared" si="30"/>
        <v>8.6185145386754591E-3</v>
      </c>
      <c r="D148">
        <f t="shared" si="30"/>
        <v>3.7543809276311723E-3</v>
      </c>
      <c r="E148">
        <f t="shared" si="30"/>
        <v>-9.7213698507903068E-5</v>
      </c>
      <c r="G148" s="6" t="s">
        <v>78</v>
      </c>
      <c r="H148">
        <f t="shared" si="31"/>
        <v>9.4012562727700689E-3</v>
      </c>
    </row>
    <row r="149" spans="1:8" x14ac:dyDescent="0.25">
      <c r="B149" t="str">
        <f t="shared" si="32"/>
        <v>P6*-P9</v>
      </c>
      <c r="C149">
        <f t="shared" si="30"/>
        <v>4.9174257411576106E-3</v>
      </c>
      <c r="D149">
        <f t="shared" si="30"/>
        <v>2.1762026113500976E-3</v>
      </c>
      <c r="E149">
        <f t="shared" si="30"/>
        <v>-2.2378373649156735E-6</v>
      </c>
      <c r="G149" s="6" t="s">
        <v>78</v>
      </c>
      <c r="H149">
        <f t="shared" si="31"/>
        <v>5.3774472320388721E-3</v>
      </c>
    </row>
    <row r="150" spans="1:8" x14ac:dyDescent="0.25">
      <c r="B150" t="str">
        <f t="shared" si="32"/>
        <v>P6*-P10</v>
      </c>
      <c r="C150">
        <f t="shared" si="30"/>
        <v>5.0954345290793457E-3</v>
      </c>
      <c r="D150">
        <f t="shared" si="30"/>
        <v>-2.4642268916070798E-3</v>
      </c>
      <c r="E150">
        <f t="shared" si="30"/>
        <v>1.5808282036733345E-6</v>
      </c>
      <c r="G150" s="6" t="s">
        <v>78</v>
      </c>
      <c r="H150">
        <f t="shared" si="31"/>
        <v>5.6600238261398997E-3</v>
      </c>
    </row>
    <row r="151" spans="1:8" x14ac:dyDescent="0.25">
      <c r="B151" t="str">
        <f t="shared" si="32"/>
        <v>P6*-P11</v>
      </c>
      <c r="C151">
        <f t="shared" si="30"/>
        <v>8.9065388078287677E-3</v>
      </c>
      <c r="D151">
        <f t="shared" si="30"/>
        <v>-3.7539917305512384E-3</v>
      </c>
      <c r="E151">
        <f t="shared" si="30"/>
        <v>-9.1034967826253421E-5</v>
      </c>
      <c r="G151" s="6" t="s">
        <v>78</v>
      </c>
      <c r="H151">
        <f t="shared" si="31"/>
        <v>9.6657733686329565E-3</v>
      </c>
    </row>
    <row r="152" spans="1:8" x14ac:dyDescent="0.25">
      <c r="B152" t="str">
        <f t="shared" si="32"/>
        <v>P6*-P12</v>
      </c>
      <c r="C152">
        <f t="shared" si="30"/>
        <v>6.4434924973319381E-3</v>
      </c>
      <c r="D152">
        <f t="shared" si="30"/>
        <v>-8.868953033991378E-5</v>
      </c>
      <c r="E152">
        <f t="shared" si="30"/>
        <v>-1.524993972286115E-4</v>
      </c>
      <c r="G152" s="6" t="s">
        <v>78</v>
      </c>
      <c r="H152">
        <f t="shared" si="31"/>
        <v>6.4459070317620919E-3</v>
      </c>
    </row>
    <row r="153" spans="1:8" x14ac:dyDescent="0.25">
      <c r="B153" s="7"/>
      <c r="G153" s="6"/>
    </row>
    <row r="154" spans="1:8" x14ac:dyDescent="0.25">
      <c r="A154" s="19" t="s">
        <v>270</v>
      </c>
      <c r="B154" s="7" t="s">
        <v>204</v>
      </c>
      <c r="C154">
        <v>0</v>
      </c>
      <c r="D154">
        <v>0</v>
      </c>
      <c r="E154">
        <v>0</v>
      </c>
    </row>
    <row r="155" spans="1:8" x14ac:dyDescent="0.25">
      <c r="B155" t="str">
        <f t="shared" ref="B155:B166" si="33">B128</f>
        <v>P1*</v>
      </c>
      <c r="C155">
        <f t="shared" ref="C155:E166" si="34">C128*$K$62</f>
        <v>4.408220919696987E-3</v>
      </c>
      <c r="D155">
        <f t="shared" si="34"/>
        <v>1.0001687277197027</v>
      </c>
      <c r="E155">
        <f t="shared" si="34"/>
        <v>1.61832411178304</v>
      </c>
    </row>
    <row r="156" spans="1:8" x14ac:dyDescent="0.25">
      <c r="B156" t="str">
        <f t="shared" si="33"/>
        <v>P2*</v>
      </c>
      <c r="C156">
        <f t="shared" si="34"/>
        <v>-4.4199810702152684E-3</v>
      </c>
      <c r="D156">
        <f t="shared" si="34"/>
        <v>-1.0001699257596401</v>
      </c>
      <c r="E156">
        <f t="shared" si="34"/>
        <v>1.618323339284145</v>
      </c>
    </row>
    <row r="157" spans="1:8" x14ac:dyDescent="0.25">
      <c r="B157" t="str">
        <f t="shared" si="33"/>
        <v>P3*</v>
      </c>
      <c r="C157">
        <f t="shared" si="34"/>
        <v>1.618304331072959</v>
      </c>
      <c r="D157">
        <f t="shared" si="34"/>
        <v>-7.1425356565374062E-3</v>
      </c>
      <c r="E157">
        <f t="shared" si="34"/>
        <v>1.0001849445544502</v>
      </c>
    </row>
    <row r="158" spans="1:8" x14ac:dyDescent="0.25">
      <c r="B158" t="str">
        <f t="shared" si="33"/>
        <v>P4*</v>
      </c>
      <c r="C158">
        <f t="shared" si="34"/>
        <v>1.0073114921727577</v>
      </c>
      <c r="D158">
        <f t="shared" si="34"/>
        <v>1.6138938641735576</v>
      </c>
      <c r="E158">
        <f t="shared" si="34"/>
        <v>4.2573818375236241E-6</v>
      </c>
    </row>
    <row r="159" spans="1:8" x14ac:dyDescent="0.25">
      <c r="B159" t="str">
        <f t="shared" si="33"/>
        <v>P5*</v>
      </c>
      <c r="C159">
        <f t="shared" si="34"/>
        <v>-0.99302716129353008</v>
      </c>
      <c r="D159">
        <f t="shared" si="34"/>
        <v>1.6227220661662181</v>
      </c>
      <c r="E159">
        <f t="shared" si="34"/>
        <v>-3.0074523681114594E-6</v>
      </c>
    </row>
    <row r="160" spans="1:8" x14ac:dyDescent="0.25">
      <c r="B160" t="str">
        <f t="shared" si="33"/>
        <v>P6*</v>
      </c>
      <c r="C160">
        <f t="shared" si="34"/>
        <v>-1.6183115992456925</v>
      </c>
      <c r="D160">
        <f t="shared" si="34"/>
        <v>7.1417952271366682E-3</v>
      </c>
      <c r="E160">
        <f t="shared" si="34"/>
        <v>1.0001731898057828</v>
      </c>
    </row>
    <row r="161" spans="1:5" x14ac:dyDescent="0.25">
      <c r="B161" t="str">
        <f t="shared" si="33"/>
        <v>P7*</v>
      </c>
      <c r="C161">
        <f t="shared" si="34"/>
        <v>4.4199810702152684E-3</v>
      </c>
      <c r="D161">
        <f t="shared" si="34"/>
        <v>1.0001699257596401</v>
      </c>
      <c r="E161">
        <f t="shared" si="34"/>
        <v>-1.618323339284145</v>
      </c>
    </row>
    <row r="162" spans="1:5" x14ac:dyDescent="0.25">
      <c r="B162" t="str">
        <f t="shared" si="33"/>
        <v>P8*</v>
      </c>
      <c r="C162">
        <f t="shared" si="34"/>
        <v>-1.618304331072959</v>
      </c>
      <c r="D162">
        <f t="shared" si="34"/>
        <v>7.1425356565374062E-3</v>
      </c>
      <c r="E162">
        <f t="shared" si="34"/>
        <v>-1.0001849445544502</v>
      </c>
    </row>
    <row r="163" spans="1:5" x14ac:dyDescent="0.25">
      <c r="B163" t="str">
        <f t="shared" si="33"/>
        <v>P9*</v>
      </c>
      <c r="C163">
        <f t="shared" si="34"/>
        <v>-1.0073114921727577</v>
      </c>
      <c r="D163">
        <f t="shared" si="34"/>
        <v>-1.6138938641735576</v>
      </c>
      <c r="E163">
        <f t="shared" si="34"/>
        <v>-4.2573818375236241E-6</v>
      </c>
    </row>
    <row r="164" spans="1:5" x14ac:dyDescent="0.25">
      <c r="B164" t="str">
        <f t="shared" si="33"/>
        <v>P10*</v>
      </c>
      <c r="C164">
        <f t="shared" si="34"/>
        <v>0.99302716129353008</v>
      </c>
      <c r="D164">
        <f t="shared" si="34"/>
        <v>-1.6227220661662181</v>
      </c>
      <c r="E164">
        <f t="shared" si="34"/>
        <v>3.0074523681114594E-6</v>
      </c>
    </row>
    <row r="165" spans="1:5" x14ac:dyDescent="0.25">
      <c r="B165" t="str">
        <f t="shared" si="33"/>
        <v>P11*</v>
      </c>
      <c r="C165">
        <f t="shared" si="34"/>
        <v>1.6183115992456925</v>
      </c>
      <c r="D165">
        <f t="shared" si="34"/>
        <v>-7.1417952271366682E-3</v>
      </c>
      <c r="E165">
        <f t="shared" si="34"/>
        <v>-1.0001731898057828</v>
      </c>
    </row>
    <row r="166" spans="1:5" x14ac:dyDescent="0.25">
      <c r="B166" t="str">
        <f t="shared" si="33"/>
        <v>P12*</v>
      </c>
      <c r="C166">
        <f t="shared" si="34"/>
        <v>-4.408220919696987E-3</v>
      </c>
      <c r="D166">
        <f t="shared" si="34"/>
        <v>-1.0001687277197027</v>
      </c>
      <c r="E166">
        <f t="shared" si="34"/>
        <v>-1.61832411178304</v>
      </c>
    </row>
    <row r="168" spans="1:5" x14ac:dyDescent="0.25">
      <c r="A168" s="19" t="s">
        <v>271</v>
      </c>
      <c r="B168" t="s">
        <v>204</v>
      </c>
      <c r="C168">
        <f>C154+$C$58</f>
        <v>1.6666666666666666E-2</v>
      </c>
      <c r="D168">
        <f>D154+$D$58</f>
        <v>0</v>
      </c>
      <c r="E168">
        <f>E154+$E$58</f>
        <v>0</v>
      </c>
    </row>
    <row r="169" spans="1:5" x14ac:dyDescent="0.25">
      <c r="B169" t="str">
        <f t="shared" ref="B169:B180" si="35">B155</f>
        <v>P1*</v>
      </c>
      <c r="C169">
        <f t="shared" ref="C169:C180" si="36">C155+$C$58</f>
        <v>2.1074887586363653E-2</v>
      </c>
      <c r="D169">
        <f t="shared" ref="D169:D180" si="37">D155+$D$58</f>
        <v>1.0001687277197027</v>
      </c>
      <c r="E169">
        <f t="shared" ref="E169:E180" si="38">E155+$E$58</f>
        <v>1.61832411178304</v>
      </c>
    </row>
    <row r="170" spans="1:5" x14ac:dyDescent="0.25">
      <c r="B170" t="str">
        <f t="shared" si="35"/>
        <v>P2*</v>
      </c>
      <c r="C170">
        <f t="shared" si="36"/>
        <v>1.2246685596451399E-2</v>
      </c>
      <c r="D170">
        <f t="shared" si="37"/>
        <v>-1.0001699257596401</v>
      </c>
      <c r="E170">
        <f t="shared" si="38"/>
        <v>1.618323339284145</v>
      </c>
    </row>
    <row r="171" spans="1:5" x14ac:dyDescent="0.25">
      <c r="B171" t="str">
        <f t="shared" si="35"/>
        <v>P3*</v>
      </c>
      <c r="C171">
        <f t="shared" si="36"/>
        <v>1.6349709977396256</v>
      </c>
      <c r="D171">
        <f t="shared" si="37"/>
        <v>-7.1425356565374062E-3</v>
      </c>
      <c r="E171">
        <f t="shared" si="38"/>
        <v>1.0001849445544502</v>
      </c>
    </row>
    <row r="172" spans="1:5" x14ac:dyDescent="0.25">
      <c r="B172" t="str">
        <f t="shared" si="35"/>
        <v>P4*</v>
      </c>
      <c r="C172">
        <f t="shared" si="36"/>
        <v>1.0239781588394243</v>
      </c>
      <c r="D172">
        <f t="shared" si="37"/>
        <v>1.6138938641735576</v>
      </c>
      <c r="E172">
        <f t="shared" si="38"/>
        <v>4.2573818375236241E-6</v>
      </c>
    </row>
    <row r="173" spans="1:5" x14ac:dyDescent="0.25">
      <c r="B173" t="str">
        <f t="shared" si="35"/>
        <v>P5*</v>
      </c>
      <c r="C173">
        <f t="shared" si="36"/>
        <v>-0.97636049462686336</v>
      </c>
      <c r="D173">
        <f t="shared" si="37"/>
        <v>1.6227220661662181</v>
      </c>
      <c r="E173">
        <f t="shared" si="38"/>
        <v>-3.0074523681114594E-6</v>
      </c>
    </row>
    <row r="174" spans="1:5" x14ac:dyDescent="0.25">
      <c r="B174" t="str">
        <f t="shared" si="35"/>
        <v>P6*</v>
      </c>
      <c r="C174">
        <f t="shared" si="36"/>
        <v>-1.6016449325790258</v>
      </c>
      <c r="D174">
        <f t="shared" si="37"/>
        <v>7.1417952271366682E-3</v>
      </c>
      <c r="E174">
        <f t="shared" si="38"/>
        <v>1.0001731898057828</v>
      </c>
    </row>
    <row r="175" spans="1:5" x14ac:dyDescent="0.25">
      <c r="B175" t="str">
        <f t="shared" si="35"/>
        <v>P7*</v>
      </c>
      <c r="C175">
        <f t="shared" si="36"/>
        <v>2.1086647736881934E-2</v>
      </c>
      <c r="D175">
        <f t="shared" si="37"/>
        <v>1.0001699257596401</v>
      </c>
      <c r="E175">
        <f t="shared" si="38"/>
        <v>-1.618323339284145</v>
      </c>
    </row>
    <row r="176" spans="1:5" x14ac:dyDescent="0.25">
      <c r="B176" t="str">
        <f t="shared" si="35"/>
        <v>P8*</v>
      </c>
      <c r="C176">
        <f t="shared" si="36"/>
        <v>-1.6016376644062924</v>
      </c>
      <c r="D176">
        <f t="shared" si="37"/>
        <v>7.1425356565374062E-3</v>
      </c>
      <c r="E176">
        <f t="shared" si="38"/>
        <v>-1.0001849445544502</v>
      </c>
    </row>
    <row r="177" spans="2:5" x14ac:dyDescent="0.25">
      <c r="B177" t="str">
        <f t="shared" si="35"/>
        <v>P9*</v>
      </c>
      <c r="C177">
        <f t="shared" si="36"/>
        <v>-0.99064482550609101</v>
      </c>
      <c r="D177">
        <f t="shared" si="37"/>
        <v>-1.6138938641735576</v>
      </c>
      <c r="E177">
        <f t="shared" si="38"/>
        <v>-4.2573818375236241E-6</v>
      </c>
    </row>
    <row r="178" spans="2:5" x14ac:dyDescent="0.25">
      <c r="B178" t="str">
        <f t="shared" si="35"/>
        <v>P10*</v>
      </c>
      <c r="C178">
        <f t="shared" si="36"/>
        <v>1.0096938279601968</v>
      </c>
      <c r="D178">
        <f t="shared" si="37"/>
        <v>-1.6227220661662181</v>
      </c>
      <c r="E178">
        <f t="shared" si="38"/>
        <v>3.0074523681114594E-6</v>
      </c>
    </row>
    <row r="179" spans="2:5" x14ac:dyDescent="0.25">
      <c r="B179" t="str">
        <f t="shared" si="35"/>
        <v>P11*</v>
      </c>
      <c r="C179">
        <f t="shared" si="36"/>
        <v>1.6349782659123591</v>
      </c>
      <c r="D179">
        <f t="shared" si="37"/>
        <v>-7.1417952271366682E-3</v>
      </c>
      <c r="E179">
        <f t="shared" si="38"/>
        <v>-1.0001731898057828</v>
      </c>
    </row>
    <row r="180" spans="2:5" x14ac:dyDescent="0.25">
      <c r="B180" t="str">
        <f t="shared" si="35"/>
        <v>P12*</v>
      </c>
      <c r="C180">
        <f t="shared" si="36"/>
        <v>1.225844574696968E-2</v>
      </c>
      <c r="D180">
        <f t="shared" si="37"/>
        <v>-1.0001687277197027</v>
      </c>
      <c r="E180">
        <f t="shared" si="38"/>
        <v>-1.61832411178304</v>
      </c>
    </row>
  </sheetData>
  <mergeCells count="18">
    <mergeCell ref="B2:D2"/>
    <mergeCell ref="F3:G5"/>
    <mergeCell ref="E36:F36"/>
    <mergeCell ref="E37:F37"/>
    <mergeCell ref="D25:F25"/>
    <mergeCell ref="E8:H8"/>
    <mergeCell ref="B8:D8"/>
    <mergeCell ref="E33:F34"/>
    <mergeCell ref="H33:J37"/>
    <mergeCell ref="A92:A93"/>
    <mergeCell ref="A124:A125"/>
    <mergeCell ref="D29:F29"/>
    <mergeCell ref="H25:J26"/>
    <mergeCell ref="G44:H44"/>
    <mergeCell ref="G48:H48"/>
    <mergeCell ref="A44:A45"/>
    <mergeCell ref="A41:C42"/>
    <mergeCell ref="E38:F38"/>
  </mergeCells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0"/>
  <sheetViews>
    <sheetView workbookViewId="0">
      <selection activeCell="F91" sqref="F91"/>
    </sheetView>
  </sheetViews>
  <sheetFormatPr baseColWidth="10" defaultRowHeight="15" x14ac:dyDescent="0.25"/>
  <cols>
    <col min="1" max="1" width="26.7109375" customWidth="1"/>
    <col min="2" max="12" width="13.7109375" customWidth="1"/>
    <col min="13" max="13" width="12" bestFit="1" customWidth="1"/>
  </cols>
  <sheetData>
    <row r="1" spans="1:11" x14ac:dyDescent="0.25">
      <c r="A1" t="s">
        <v>0</v>
      </c>
    </row>
    <row r="2" spans="1:11" x14ac:dyDescent="0.25">
      <c r="A2" s="29"/>
      <c r="B2" s="69" t="s">
        <v>134</v>
      </c>
      <c r="C2" s="70"/>
      <c r="D2" s="70"/>
    </row>
    <row r="3" spans="1:11" ht="15" customHeight="1" x14ac:dyDescent="0.25">
      <c r="A3" t="s">
        <v>1</v>
      </c>
      <c r="F3" s="75" t="s">
        <v>315</v>
      </c>
      <c r="G3" s="76"/>
    </row>
    <row r="4" spans="1:11" x14ac:dyDescent="0.25">
      <c r="A4" t="s">
        <v>2</v>
      </c>
      <c r="B4" s="1">
        <v>671.16</v>
      </c>
      <c r="C4" s="43" t="s">
        <v>51</v>
      </c>
      <c r="D4" s="1">
        <v>90</v>
      </c>
      <c r="F4" s="76"/>
      <c r="G4" s="76"/>
    </row>
    <row r="5" spans="1:11" x14ac:dyDescent="0.25">
      <c r="A5" t="s">
        <v>3</v>
      </c>
      <c r="B5" s="1">
        <v>952.15</v>
      </c>
      <c r="C5" s="43" t="s">
        <v>52</v>
      </c>
      <c r="D5" s="1">
        <v>90</v>
      </c>
      <c r="F5" s="76"/>
      <c r="G5" s="76"/>
    </row>
    <row r="6" spans="1:11" x14ac:dyDescent="0.25">
      <c r="A6" t="s">
        <v>4</v>
      </c>
      <c r="B6" s="1">
        <v>671.88</v>
      </c>
      <c r="C6" s="43" t="s">
        <v>53</v>
      </c>
      <c r="D6" s="1">
        <v>90</v>
      </c>
    </row>
    <row r="8" spans="1:11" x14ac:dyDescent="0.25">
      <c r="B8" s="79" t="s">
        <v>279</v>
      </c>
      <c r="C8" s="79"/>
      <c r="D8" s="79"/>
      <c r="E8" s="77" t="s">
        <v>279</v>
      </c>
      <c r="F8" s="80"/>
      <c r="G8" s="80"/>
      <c r="H8" s="80"/>
    </row>
    <row r="9" spans="1:11" x14ac:dyDescent="0.25">
      <c r="A9" t="s">
        <v>5</v>
      </c>
      <c r="B9" s="41" t="s">
        <v>6</v>
      </c>
      <c r="C9" s="41" t="s">
        <v>7</v>
      </c>
      <c r="D9" s="41" t="s">
        <v>8</v>
      </c>
      <c r="E9" s="40"/>
      <c r="F9" s="40" t="s">
        <v>6</v>
      </c>
      <c r="G9" s="40" t="s">
        <v>7</v>
      </c>
      <c r="H9" s="40" t="s">
        <v>8</v>
      </c>
    </row>
    <row r="10" spans="1:11" x14ac:dyDescent="0.25">
      <c r="A10" t="s">
        <v>96</v>
      </c>
      <c r="B10" s="20">
        <v>0.98970000000000002</v>
      </c>
      <c r="C10" s="20">
        <v>0.75</v>
      </c>
      <c r="D10" s="20">
        <v>2.8999999999999998E-3</v>
      </c>
      <c r="E10" s="14" t="s">
        <v>82</v>
      </c>
      <c r="F10" s="26">
        <f t="shared" ref="F10:F22" si="0">C168*$G$49+D168*$H$49+E168*$I$49</f>
        <v>1.0025666666666666</v>
      </c>
      <c r="G10" s="26">
        <f t="shared" ref="G10:G22" si="1">C168*$G$50+D168*$H$50+E168*$I$50</f>
        <v>0.75</v>
      </c>
      <c r="H10" s="26">
        <f t="shared" ref="H10:H22" si="2">C168*$G$51+D168*$H$51+E168*$I$51</f>
        <v>0</v>
      </c>
    </row>
    <row r="11" spans="1:11" x14ac:dyDescent="0.25">
      <c r="A11" t="s">
        <v>9</v>
      </c>
      <c r="B11" s="20">
        <v>1.0077</v>
      </c>
      <c r="C11" s="20">
        <v>0.75</v>
      </c>
      <c r="D11" s="20">
        <v>-0.46710000000000002</v>
      </c>
      <c r="E11" s="15" t="s">
        <v>58</v>
      </c>
      <c r="F11" s="26">
        <f t="shared" si="0"/>
        <v>1.0000663114567372</v>
      </c>
      <c r="G11" s="26">
        <f t="shared" si="1"/>
        <v>0.75000302282678399</v>
      </c>
      <c r="H11" s="26">
        <f t="shared" si="2"/>
        <v>-0.50115864189801362</v>
      </c>
    </row>
    <row r="12" spans="1:11" x14ac:dyDescent="0.25">
      <c r="A12" t="s">
        <v>10</v>
      </c>
      <c r="B12" s="20">
        <v>1.278</v>
      </c>
      <c r="C12" s="20">
        <v>1.0177</v>
      </c>
      <c r="D12" s="20">
        <v>-0.28189999999999998</v>
      </c>
      <c r="E12" s="15" t="s">
        <v>59</v>
      </c>
      <c r="F12" s="26">
        <f t="shared" si="0"/>
        <v>1.2521651077423877</v>
      </c>
      <c r="G12" s="26">
        <f t="shared" si="1"/>
        <v>1.0000657310900378</v>
      </c>
      <c r="H12" s="26">
        <f t="shared" si="2"/>
        <v>-0.25182513212465346</v>
      </c>
    </row>
    <row r="13" spans="1:11" x14ac:dyDescent="0.25">
      <c r="A13" s="21" t="s">
        <v>11</v>
      </c>
      <c r="B13" s="22">
        <v>0.77800000000000002</v>
      </c>
      <c r="C13" s="23">
        <v>1.0177</v>
      </c>
      <c r="D13" s="23">
        <v>-0.21809999999999999</v>
      </c>
      <c r="E13" s="24" t="s">
        <v>60</v>
      </c>
      <c r="F13" s="27">
        <f t="shared" si="0"/>
        <v>0.75046883810411191</v>
      </c>
      <c r="G13" s="27">
        <f t="shared" si="1"/>
        <v>1.0000661983747683</v>
      </c>
      <c r="H13" s="27">
        <f t="shared" si="2"/>
        <v>-0.24932745633945552</v>
      </c>
    </row>
    <row r="14" spans="1:11" x14ac:dyDescent="0.25">
      <c r="A14" t="s">
        <v>12</v>
      </c>
      <c r="B14" s="20">
        <v>0.77800000000000002</v>
      </c>
      <c r="C14" s="20">
        <v>0.48230000000000001</v>
      </c>
      <c r="D14" s="20">
        <v>-0.21809999999999999</v>
      </c>
      <c r="E14" s="15" t="s">
        <v>61</v>
      </c>
      <c r="F14" s="26">
        <f t="shared" si="0"/>
        <v>0.75046787038101603</v>
      </c>
      <c r="G14" s="26">
        <f t="shared" si="1"/>
        <v>0.4999372917367465</v>
      </c>
      <c r="H14" s="26">
        <f t="shared" si="2"/>
        <v>-0.24933350977336008</v>
      </c>
    </row>
    <row r="15" spans="1:11" x14ac:dyDescent="0.25">
      <c r="A15" t="s">
        <v>13</v>
      </c>
      <c r="B15" s="20">
        <v>1.278</v>
      </c>
      <c r="C15" s="20">
        <v>0.48230000000000001</v>
      </c>
      <c r="D15" s="20">
        <v>-0.28189999999999998</v>
      </c>
      <c r="E15" s="15" t="s">
        <v>62</v>
      </c>
      <c r="F15" s="26">
        <f t="shared" si="0"/>
        <v>1.2521641400192918</v>
      </c>
      <c r="G15" s="26">
        <f t="shared" si="1"/>
        <v>0.49993682445201582</v>
      </c>
      <c r="H15" s="26">
        <f t="shared" si="2"/>
        <v>-0.25183118555855832</v>
      </c>
    </row>
    <row r="16" spans="1:11" x14ac:dyDescent="0.25">
      <c r="A16" s="21" t="s">
        <v>98</v>
      </c>
      <c r="B16" s="23">
        <v>1.5077</v>
      </c>
      <c r="C16" s="23">
        <v>0.75</v>
      </c>
      <c r="D16" s="23">
        <v>-3.2899999999999999E-2</v>
      </c>
      <c r="E16" s="25" t="s">
        <v>99</v>
      </c>
      <c r="F16" s="27">
        <f t="shared" si="0"/>
        <v>1.5042629363049425</v>
      </c>
      <c r="G16" s="27">
        <f t="shared" si="1"/>
        <v>0.74999953271526942</v>
      </c>
      <c r="H16" s="27">
        <f t="shared" si="2"/>
        <v>-2.4976757851981942E-3</v>
      </c>
      <c r="K16" s="4"/>
    </row>
    <row r="17" spans="1:11" x14ac:dyDescent="0.25">
      <c r="A17" t="s">
        <v>104</v>
      </c>
      <c r="B17" s="20">
        <v>1.222</v>
      </c>
      <c r="C17" s="20">
        <v>0.98229999999999995</v>
      </c>
      <c r="D17" s="20">
        <v>0.21809999999999999</v>
      </c>
      <c r="E17" s="16" t="s">
        <v>110</v>
      </c>
      <c r="F17" s="26">
        <f t="shared" si="0"/>
        <v>1.2546654629523173</v>
      </c>
      <c r="G17" s="26">
        <f t="shared" si="1"/>
        <v>1.0000627082632536</v>
      </c>
      <c r="H17" s="26">
        <f t="shared" si="2"/>
        <v>0.24933350977336008</v>
      </c>
      <c r="K17" s="4"/>
    </row>
    <row r="18" spans="1:11" x14ac:dyDescent="0.25">
      <c r="A18" t="s">
        <v>105</v>
      </c>
      <c r="B18" s="20">
        <v>0.72199999999999998</v>
      </c>
      <c r="C18" s="20">
        <v>0.98229999999999995</v>
      </c>
      <c r="D18" s="20">
        <v>0.28189999999999998</v>
      </c>
      <c r="E18" s="16" t="s">
        <v>111</v>
      </c>
      <c r="F18" s="26">
        <f t="shared" si="0"/>
        <v>0.75296919331404122</v>
      </c>
      <c r="G18" s="26">
        <f t="shared" si="1"/>
        <v>1.0000631755479843</v>
      </c>
      <c r="H18" s="26">
        <f t="shared" si="2"/>
        <v>0.25183118555855832</v>
      </c>
    </row>
    <row r="19" spans="1:11" x14ac:dyDescent="0.25">
      <c r="A19" s="21" t="s">
        <v>106</v>
      </c>
      <c r="B19" s="23">
        <v>0.50770000000000004</v>
      </c>
      <c r="C19" s="23">
        <v>0.75</v>
      </c>
      <c r="D19" s="23">
        <v>-3.2899999999999999E-2</v>
      </c>
      <c r="E19" s="25" t="s">
        <v>112</v>
      </c>
      <c r="F19" s="27">
        <f t="shared" si="0"/>
        <v>0.50087039702839053</v>
      </c>
      <c r="G19" s="27">
        <f t="shared" si="1"/>
        <v>0.75000046728473058</v>
      </c>
      <c r="H19" s="27">
        <f t="shared" si="2"/>
        <v>2.4976757851982298E-3</v>
      </c>
    </row>
    <row r="20" spans="1:11" x14ac:dyDescent="0.25">
      <c r="A20" t="s">
        <v>107</v>
      </c>
      <c r="B20" s="20">
        <v>0.72199999999999998</v>
      </c>
      <c r="C20" s="20">
        <v>0.51770000000000005</v>
      </c>
      <c r="D20" s="20">
        <v>0.28189999999999998</v>
      </c>
      <c r="E20" s="16" t="s">
        <v>113</v>
      </c>
      <c r="F20" s="26">
        <f t="shared" si="0"/>
        <v>0.75296822559094534</v>
      </c>
      <c r="G20" s="26">
        <f t="shared" si="1"/>
        <v>0.49993426890996229</v>
      </c>
      <c r="H20" s="26">
        <f t="shared" si="2"/>
        <v>0.25182513212465352</v>
      </c>
    </row>
    <row r="21" spans="1:11" x14ac:dyDescent="0.25">
      <c r="A21" t="s">
        <v>108</v>
      </c>
      <c r="B21" s="20">
        <v>1.222</v>
      </c>
      <c r="C21" s="20">
        <v>0.51770000000000005</v>
      </c>
      <c r="D21" s="20">
        <v>0.21809999999999999</v>
      </c>
      <c r="E21" s="16" t="s">
        <v>115</v>
      </c>
      <c r="F21" s="26">
        <f t="shared" si="0"/>
        <v>1.254664495229221</v>
      </c>
      <c r="G21" s="26">
        <f t="shared" si="1"/>
        <v>0.49993380162523182</v>
      </c>
      <c r="H21" s="26">
        <f t="shared" si="2"/>
        <v>0.24932745633945558</v>
      </c>
    </row>
    <row r="22" spans="1:11" x14ac:dyDescent="0.25">
      <c r="A22" t="s">
        <v>109</v>
      </c>
      <c r="B22" s="20">
        <v>1.0077</v>
      </c>
      <c r="C22" s="20">
        <v>0.75</v>
      </c>
      <c r="D22" s="20">
        <v>0.53290000000000004</v>
      </c>
      <c r="E22" s="16" t="s">
        <v>114</v>
      </c>
      <c r="F22" s="26">
        <f t="shared" si="0"/>
        <v>1.0050670218765958</v>
      </c>
      <c r="G22" s="26">
        <f t="shared" si="1"/>
        <v>0.74999697717321601</v>
      </c>
      <c r="H22" s="26">
        <f t="shared" si="2"/>
        <v>0.50115864189801362</v>
      </c>
    </row>
    <row r="23" spans="1:11" x14ac:dyDescent="0.25">
      <c r="G23" s="2"/>
    </row>
    <row r="25" spans="1:11" ht="15" customHeight="1" x14ac:dyDescent="0.25">
      <c r="A25" t="s">
        <v>57</v>
      </c>
      <c r="B25" t="s">
        <v>17</v>
      </c>
      <c r="C25" s="18"/>
      <c r="D25" s="61" t="s">
        <v>18</v>
      </c>
      <c r="E25" s="61"/>
      <c r="F25" s="61"/>
      <c r="H25" s="61" t="s">
        <v>206</v>
      </c>
      <c r="I25" s="61"/>
      <c r="J25" s="61"/>
    </row>
    <row r="26" spans="1:11" x14ac:dyDescent="0.25">
      <c r="A26" t="s">
        <v>19</v>
      </c>
      <c r="B26" s="13">
        <f>H141*100</f>
        <v>6.9641464020536743</v>
      </c>
      <c r="C26" t="s">
        <v>210</v>
      </c>
      <c r="D26" t="s">
        <v>20</v>
      </c>
      <c r="E26" s="3">
        <f>(AVERAGE(B26:B37))</f>
        <v>8.771250803722646</v>
      </c>
      <c r="F26" t="s">
        <v>210</v>
      </c>
      <c r="H26" s="61"/>
      <c r="I26" s="61"/>
      <c r="J26" s="61"/>
    </row>
    <row r="27" spans="1:11" x14ac:dyDescent="0.25">
      <c r="A27" t="s">
        <v>22</v>
      </c>
      <c r="B27" s="13">
        <f t="shared" ref="B27:B37" si="3">H142*100</f>
        <v>9.3484366472068423</v>
      </c>
      <c r="C27" t="s">
        <v>210</v>
      </c>
      <c r="D27" t="s">
        <v>23</v>
      </c>
      <c r="E27">
        <f>E26*K62/100</f>
        <v>29.534788149712785</v>
      </c>
      <c r="F27" t="s">
        <v>24</v>
      </c>
      <c r="H27" t="s">
        <v>56</v>
      </c>
      <c r="I27" s="4" t="s">
        <v>29</v>
      </c>
      <c r="J27" s="4" t="s">
        <v>30</v>
      </c>
    </row>
    <row r="28" spans="1:11" x14ac:dyDescent="0.25">
      <c r="A28" t="s">
        <v>25</v>
      </c>
      <c r="B28" s="13">
        <f t="shared" si="3"/>
        <v>9.6851162444038899</v>
      </c>
      <c r="C28" t="s">
        <v>210</v>
      </c>
      <c r="H28" s="9" t="s">
        <v>54</v>
      </c>
      <c r="I28" s="5">
        <v>4.1916653828882628</v>
      </c>
      <c r="J28">
        <f>DEGREES(I28)</f>
        <v>240.16473557058569</v>
      </c>
    </row>
    <row r="29" spans="1:11" x14ac:dyDescent="0.25">
      <c r="A29" t="s">
        <v>26</v>
      </c>
      <c r="B29" s="13">
        <f t="shared" si="3"/>
        <v>9.6865107496670202</v>
      </c>
      <c r="C29" t="s">
        <v>210</v>
      </c>
      <c r="D29" s="65" t="s">
        <v>207</v>
      </c>
      <c r="E29" s="65"/>
      <c r="F29" s="65"/>
      <c r="H29" s="9" t="s">
        <v>55</v>
      </c>
      <c r="I29" s="5">
        <v>7.2361581016111352</v>
      </c>
      <c r="J29">
        <f>DEGREES(I29)</f>
        <v>414.60131911171595</v>
      </c>
    </row>
    <row r="30" spans="1:11" x14ac:dyDescent="0.25">
      <c r="A30" t="s">
        <v>28</v>
      </c>
      <c r="B30" s="13">
        <f t="shared" si="3"/>
        <v>9.3481530863619522</v>
      </c>
      <c r="C30" t="s">
        <v>210</v>
      </c>
      <c r="D30" t="s">
        <v>20</v>
      </c>
      <c r="E30">
        <f>E31/K62*100</f>
        <v>2.6290712466299415</v>
      </c>
      <c r="F30" t="s">
        <v>210</v>
      </c>
      <c r="H30" s="9" t="s">
        <v>79</v>
      </c>
      <c r="I30" s="5">
        <v>4.3678554207337825</v>
      </c>
      <c r="J30">
        <f>DEGREES(I30)</f>
        <v>250.25968113138421</v>
      </c>
    </row>
    <row r="31" spans="1:11" ht="15" customHeight="1" x14ac:dyDescent="0.25">
      <c r="A31" t="s">
        <v>100</v>
      </c>
      <c r="B31" s="13">
        <f t="shared" si="3"/>
        <v>6.1048929238216161</v>
      </c>
      <c r="C31" t="s">
        <v>210</v>
      </c>
      <c r="D31" t="s">
        <v>23</v>
      </c>
      <c r="E31">
        <f>H61</f>
        <v>8.8526783736204688</v>
      </c>
      <c r="F31" t="s">
        <v>24</v>
      </c>
    </row>
    <row r="32" spans="1:11" x14ac:dyDescent="0.25">
      <c r="A32" t="s">
        <v>116</v>
      </c>
      <c r="B32" s="13">
        <f t="shared" si="3"/>
        <v>10.317960644040665</v>
      </c>
      <c r="C32" t="s">
        <v>210</v>
      </c>
    </row>
    <row r="33" spans="1:13" ht="15" customHeight="1" x14ac:dyDescent="0.25">
      <c r="A33" t="s">
        <v>117</v>
      </c>
      <c r="B33" s="13">
        <f t="shared" si="3"/>
        <v>9.9664713489530445</v>
      </c>
      <c r="C33" t="s">
        <v>210</v>
      </c>
      <c r="E33" s="61" t="s">
        <v>274</v>
      </c>
      <c r="F33" s="61"/>
      <c r="H33" s="61" t="s">
        <v>235</v>
      </c>
      <c r="I33" s="61"/>
      <c r="J33" s="61"/>
      <c r="K33" s="4"/>
      <c r="L33" s="4"/>
    </row>
    <row r="34" spans="1:13" x14ac:dyDescent="0.25">
      <c r="A34" t="s">
        <v>118</v>
      </c>
      <c r="B34" s="13">
        <f t="shared" si="3"/>
        <v>7.1930659776216777</v>
      </c>
      <c r="C34" t="s">
        <v>210</v>
      </c>
      <c r="E34" s="61"/>
      <c r="F34" s="61"/>
      <c r="H34" s="61"/>
      <c r="I34" s="61"/>
      <c r="J34" s="61"/>
      <c r="K34" s="4"/>
      <c r="L34" s="4"/>
    </row>
    <row r="35" spans="1:13" x14ac:dyDescent="0.25">
      <c r="A35" t="s">
        <v>119</v>
      </c>
      <c r="B35" s="13">
        <f t="shared" si="3"/>
        <v>9.9674432619839735</v>
      </c>
      <c r="C35" t="s">
        <v>210</v>
      </c>
      <c r="H35" s="61"/>
      <c r="I35" s="61"/>
      <c r="J35" s="61"/>
      <c r="K35" s="4"/>
      <c r="L35" s="4"/>
    </row>
    <row r="36" spans="1:13" x14ac:dyDescent="0.25">
      <c r="A36" t="s">
        <v>120</v>
      </c>
      <c r="B36" s="13">
        <f t="shared" si="3"/>
        <v>10.317589888138853</v>
      </c>
      <c r="C36" t="s">
        <v>210</v>
      </c>
      <c r="D36" s="2" t="s">
        <v>14</v>
      </c>
      <c r="E36" s="71" t="s">
        <v>15</v>
      </c>
      <c r="F36" s="71"/>
      <c r="H36" s="61"/>
      <c r="I36" s="61"/>
      <c r="J36" s="61"/>
    </row>
    <row r="37" spans="1:13" x14ac:dyDescent="0.25">
      <c r="A37" t="s">
        <v>121</v>
      </c>
      <c r="B37" s="13">
        <f t="shared" si="3"/>
        <v>6.3552224704185605</v>
      </c>
      <c r="C37" t="s">
        <v>210</v>
      </c>
      <c r="D37" s="2"/>
      <c r="E37" s="72" t="s">
        <v>16</v>
      </c>
      <c r="F37" s="72"/>
      <c r="H37" s="61"/>
      <c r="I37" s="61"/>
      <c r="J37" s="61"/>
    </row>
    <row r="38" spans="1:13" x14ac:dyDescent="0.25">
      <c r="D38" s="2"/>
      <c r="E38" s="73" t="s">
        <v>307</v>
      </c>
      <c r="F38" s="74"/>
      <c r="H38" s="4"/>
      <c r="I38" s="4"/>
      <c r="J38" s="4"/>
      <c r="K38" s="4"/>
      <c r="L38" s="4"/>
    </row>
    <row r="39" spans="1:13" x14ac:dyDescent="0.25">
      <c r="H39" s="4"/>
      <c r="I39" s="4"/>
      <c r="J39" s="4"/>
      <c r="K39" s="4"/>
      <c r="L39" s="4"/>
    </row>
    <row r="40" spans="1:13" x14ac:dyDescent="0.25">
      <c r="H40" s="4"/>
      <c r="I40" s="4"/>
      <c r="J40" s="4"/>
      <c r="K40" s="4"/>
      <c r="L40" s="4"/>
    </row>
    <row r="41" spans="1:13" x14ac:dyDescent="0.25">
      <c r="A41" s="61" t="s">
        <v>275</v>
      </c>
      <c r="B41" s="61"/>
      <c r="C41" s="61"/>
    </row>
    <row r="42" spans="1:13" x14ac:dyDescent="0.25">
      <c r="A42" s="61"/>
      <c r="B42" s="61"/>
      <c r="C42" s="61"/>
    </row>
    <row r="43" spans="1:13" x14ac:dyDescent="0.25">
      <c r="A43" s="37"/>
      <c r="B43" s="37"/>
      <c r="C43" s="37"/>
    </row>
    <row r="44" spans="1:13" ht="15" customHeight="1" x14ac:dyDescent="0.25">
      <c r="A44" s="68" t="s">
        <v>83</v>
      </c>
      <c r="B44" s="7"/>
      <c r="C44" s="8" t="s">
        <v>31</v>
      </c>
      <c r="D44" s="8" t="s">
        <v>32</v>
      </c>
      <c r="E44" s="8" t="s">
        <v>33</v>
      </c>
      <c r="F44" s="8"/>
      <c r="G44" s="61" t="s">
        <v>95</v>
      </c>
      <c r="H44" s="61"/>
    </row>
    <row r="45" spans="1:13" ht="15" customHeight="1" x14ac:dyDescent="0.25">
      <c r="A45" s="68"/>
      <c r="B45" t="s">
        <v>82</v>
      </c>
      <c r="C45">
        <f t="shared" ref="C45:C57" si="4">B10*$G$45+C10*$H$45+D10*$I$45</f>
        <v>664.24705199999994</v>
      </c>
      <c r="D45">
        <f t="shared" ref="D45:D57" si="5">B10*$G$46+C10*$H$46+D10*$I$46</f>
        <v>714.11249999999995</v>
      </c>
      <c r="E45">
        <f t="shared" ref="E45:E57" si="6">B10*$G$47+C10*$H$47+D10*$I$47</f>
        <v>1.9484519999999999</v>
      </c>
      <c r="G45">
        <f>B4</f>
        <v>671.16</v>
      </c>
      <c r="H45">
        <f>B5*(COS(M47))</f>
        <v>5.8326255067062127E-14</v>
      </c>
      <c r="I45">
        <f>B6*(COS(M46))</f>
        <v>4.1157637194200182E-14</v>
      </c>
      <c r="K45" t="s">
        <v>51</v>
      </c>
      <c r="L45">
        <f>D4</f>
        <v>90</v>
      </c>
      <c r="M45">
        <f>RADIANS(L45)</f>
        <v>1.5707963267948966</v>
      </c>
    </row>
    <row r="46" spans="1:13" x14ac:dyDescent="0.25">
      <c r="B46" t="str">
        <f t="shared" ref="B46:B57" si="7">A26</f>
        <v>P1</v>
      </c>
      <c r="C46">
        <f t="shared" si="4"/>
        <v>676.32793200000003</v>
      </c>
      <c r="D46">
        <f t="shared" si="5"/>
        <v>714.11249999999995</v>
      </c>
      <c r="E46">
        <f t="shared" si="6"/>
        <v>-313.835148</v>
      </c>
      <c r="G46">
        <f>0</f>
        <v>0</v>
      </c>
      <c r="H46">
        <f>B5*(SIN(M47))</f>
        <v>952.15</v>
      </c>
      <c r="I46">
        <f>(B6*(COS(M45)-COS(M46)*COS(M47)))/(SIN(M47))</f>
        <v>4.1157637194200182E-14</v>
      </c>
      <c r="K46" t="s">
        <v>93</v>
      </c>
      <c r="L46">
        <f>D5</f>
        <v>90</v>
      </c>
      <c r="M46">
        <f>RADIANS(L46)</f>
        <v>1.5707963267948966</v>
      </c>
    </row>
    <row r="47" spans="1:13" x14ac:dyDescent="0.25">
      <c r="B47" t="str">
        <f t="shared" si="7"/>
        <v>P2</v>
      </c>
      <c r="C47">
        <f t="shared" si="4"/>
        <v>857.74248000000011</v>
      </c>
      <c r="D47">
        <f t="shared" si="5"/>
        <v>969.00305500000002</v>
      </c>
      <c r="E47">
        <f t="shared" si="6"/>
        <v>-189.40297199999998</v>
      </c>
      <c r="G47">
        <f>0</f>
        <v>0</v>
      </c>
      <c r="H47">
        <f>0</f>
        <v>0</v>
      </c>
      <c r="I47">
        <f>B6*(SQRT(1-POWER(COS(M46),2)-(POWER(COS(M45)-(COS(M46)*COS(M47)),2))/(POWER(SIN(M47),2))))</f>
        <v>671.88</v>
      </c>
      <c r="K47" t="s">
        <v>94</v>
      </c>
      <c r="L47">
        <f>D6</f>
        <v>90</v>
      </c>
      <c r="M47">
        <f>RADIANS(L47)</f>
        <v>1.5707963267948966</v>
      </c>
    </row>
    <row r="48" spans="1:13" x14ac:dyDescent="0.25">
      <c r="B48" t="str">
        <f t="shared" si="7"/>
        <v>P3</v>
      </c>
      <c r="C48">
        <f t="shared" si="4"/>
        <v>522.16248000000007</v>
      </c>
      <c r="D48">
        <f t="shared" si="5"/>
        <v>969.00305500000002</v>
      </c>
      <c r="E48">
        <f t="shared" si="6"/>
        <v>-146.53702799999999</v>
      </c>
      <c r="G48" s="65" t="s">
        <v>272</v>
      </c>
      <c r="H48" s="65"/>
    </row>
    <row r="49" spans="1:11" x14ac:dyDescent="0.25">
      <c r="B49" t="str">
        <f t="shared" si="7"/>
        <v>P4</v>
      </c>
      <c r="C49">
        <f t="shared" si="4"/>
        <v>522.16247999999996</v>
      </c>
      <c r="D49">
        <f t="shared" si="5"/>
        <v>459.22194500000001</v>
      </c>
      <c r="E49">
        <f t="shared" si="6"/>
        <v>-146.53702799999999</v>
      </c>
      <c r="G49" s="6">
        <f>1/G45</f>
        <v>1.4899576852017403E-3</v>
      </c>
      <c r="H49">
        <f>-H45/(G45*H46)</f>
        <v>-9.1270967795206811E-20</v>
      </c>
      <c r="I49">
        <f>(H45*I46)/(G45*H46*I47)-I45/(G45*I47)</f>
        <v>-9.1270967795206824E-20</v>
      </c>
    </row>
    <row r="50" spans="1:11" x14ac:dyDescent="0.25">
      <c r="B50" t="str">
        <f t="shared" si="7"/>
        <v>P5</v>
      </c>
      <c r="C50">
        <f t="shared" si="4"/>
        <v>857.74248</v>
      </c>
      <c r="D50">
        <f t="shared" si="5"/>
        <v>459.22194500000001</v>
      </c>
      <c r="E50">
        <f t="shared" si="6"/>
        <v>-189.40297199999998</v>
      </c>
      <c r="G50" s="6">
        <f>0</f>
        <v>0</v>
      </c>
      <c r="H50" s="6">
        <f>1/H46</f>
        <v>1.0502546867615396E-3</v>
      </c>
      <c r="I50">
        <f>-I46/(H46*I47)</f>
        <v>-6.4335895337321846E-20</v>
      </c>
    </row>
    <row r="51" spans="1:11" x14ac:dyDescent="0.25">
      <c r="B51" t="str">
        <f t="shared" si="7"/>
        <v>P6</v>
      </c>
      <c r="C51">
        <f t="shared" si="4"/>
        <v>1011.907932</v>
      </c>
      <c r="D51">
        <f t="shared" si="5"/>
        <v>714.11249999999995</v>
      </c>
      <c r="E51">
        <f t="shared" si="6"/>
        <v>-22.104851999999998</v>
      </c>
      <c r="G51" s="6">
        <f>0</f>
        <v>0</v>
      </c>
      <c r="H51">
        <f>0</f>
        <v>0</v>
      </c>
      <c r="I51" s="6">
        <f>1/I47</f>
        <v>1.4883610168482467E-3</v>
      </c>
    </row>
    <row r="52" spans="1:11" x14ac:dyDescent="0.25">
      <c r="B52" t="str">
        <f t="shared" si="7"/>
        <v>P7</v>
      </c>
      <c r="C52">
        <f t="shared" si="4"/>
        <v>820.15752000000009</v>
      </c>
      <c r="D52">
        <f t="shared" si="5"/>
        <v>935.29694499999994</v>
      </c>
      <c r="E52">
        <f t="shared" si="6"/>
        <v>146.53702799999999</v>
      </c>
      <c r="G52" s="6"/>
      <c r="I52" s="6"/>
    </row>
    <row r="53" spans="1:11" x14ac:dyDescent="0.25">
      <c r="B53" t="str">
        <f t="shared" si="7"/>
        <v>P8</v>
      </c>
      <c r="C53">
        <f t="shared" si="4"/>
        <v>484.57751999999999</v>
      </c>
      <c r="D53">
        <f t="shared" si="5"/>
        <v>935.29694499999994</v>
      </c>
      <c r="E53">
        <f t="shared" si="6"/>
        <v>189.40297199999998</v>
      </c>
      <c r="G53" s="6"/>
      <c r="I53" s="6"/>
    </row>
    <row r="54" spans="1:11" x14ac:dyDescent="0.25">
      <c r="B54" t="str">
        <f t="shared" si="7"/>
        <v>P9</v>
      </c>
      <c r="C54">
        <f t="shared" si="4"/>
        <v>340.74793200000005</v>
      </c>
      <c r="D54">
        <f t="shared" si="5"/>
        <v>714.11249999999995</v>
      </c>
      <c r="E54">
        <f t="shared" si="6"/>
        <v>-22.104851999999998</v>
      </c>
      <c r="G54" s="6"/>
      <c r="I54" s="6"/>
    </row>
    <row r="55" spans="1:11" x14ac:dyDescent="0.25">
      <c r="B55" t="str">
        <f t="shared" si="7"/>
        <v>P10</v>
      </c>
      <c r="C55">
        <f t="shared" si="4"/>
        <v>484.57751999999999</v>
      </c>
      <c r="D55">
        <f t="shared" si="5"/>
        <v>492.92805500000003</v>
      </c>
      <c r="E55">
        <f t="shared" si="6"/>
        <v>189.40297199999998</v>
      </c>
      <c r="G55" s="6"/>
      <c r="I55" s="6"/>
    </row>
    <row r="56" spans="1:11" x14ac:dyDescent="0.25">
      <c r="B56" t="str">
        <f t="shared" si="7"/>
        <v>P11</v>
      </c>
      <c r="C56">
        <f t="shared" si="4"/>
        <v>820.15751999999998</v>
      </c>
      <c r="D56">
        <f t="shared" si="5"/>
        <v>492.92805500000003</v>
      </c>
      <c r="E56">
        <f t="shared" si="6"/>
        <v>146.53702799999999</v>
      </c>
      <c r="G56" s="6"/>
      <c r="I56" s="6"/>
    </row>
    <row r="57" spans="1:11" x14ac:dyDescent="0.25">
      <c r="B57" t="str">
        <f t="shared" si="7"/>
        <v>P12</v>
      </c>
      <c r="C57">
        <f t="shared" si="4"/>
        <v>676.32793200000003</v>
      </c>
      <c r="D57">
        <f t="shared" si="5"/>
        <v>714.11249999999995</v>
      </c>
      <c r="E57">
        <f t="shared" si="6"/>
        <v>358.04485200000005</v>
      </c>
      <c r="G57" s="6"/>
      <c r="I57" s="6"/>
    </row>
    <row r="58" spans="1:11" x14ac:dyDescent="0.25">
      <c r="A58" t="s">
        <v>203</v>
      </c>
      <c r="B58" t="s">
        <v>204</v>
      </c>
      <c r="C58">
        <f>AVERAGE(C46:C57)</f>
        <v>672.88264399999991</v>
      </c>
      <c r="D58">
        <f>AVERAGE(D46:D57)</f>
        <v>714.11250000000007</v>
      </c>
      <c r="E58">
        <f>AVERAGE(E46:E57)</f>
        <v>0</v>
      </c>
      <c r="G58" s="6"/>
      <c r="I58" s="6"/>
    </row>
    <row r="59" spans="1:11" x14ac:dyDescent="0.25">
      <c r="G59" s="6"/>
    </row>
    <row r="60" spans="1:11" x14ac:dyDescent="0.25">
      <c r="A60" s="19" t="s">
        <v>205</v>
      </c>
      <c r="G60" s="6"/>
    </row>
    <row r="61" spans="1:11" x14ac:dyDescent="0.25">
      <c r="A61" s="30" t="s">
        <v>211</v>
      </c>
      <c r="B61" t="s">
        <v>208</v>
      </c>
      <c r="C61">
        <f>C45-$C$58</f>
        <v>-8.6355919999999742</v>
      </c>
      <c r="D61">
        <f>D45-$D$58</f>
        <v>0</v>
      </c>
      <c r="E61">
        <f>E45-$E$58</f>
        <v>1.9484519999999999</v>
      </c>
      <c r="G61" s="6" t="s">
        <v>209</v>
      </c>
      <c r="H61">
        <f>SQRT(POWER(C61,2)+POWER(D61,2)+POWER(E61,2))</f>
        <v>8.8526783736204688</v>
      </c>
    </row>
    <row r="62" spans="1:11" x14ac:dyDescent="0.25">
      <c r="A62" s="4" t="s">
        <v>212</v>
      </c>
      <c r="B62" s="7" t="s">
        <v>36</v>
      </c>
      <c r="C62">
        <f>C46-$C$58</f>
        <v>3.4452880000001187</v>
      </c>
      <c r="D62">
        <f>D46-$D$58</f>
        <v>0</v>
      </c>
      <c r="E62">
        <f>E46-$E$58</f>
        <v>-313.835148</v>
      </c>
      <c r="G62" s="6" t="s">
        <v>37</v>
      </c>
      <c r="H62">
        <f>SQRT(POWER(C62,2)+POWER(D62,2)+POWER(E62,2))</f>
        <v>313.85405864762186</v>
      </c>
      <c r="J62" s="6" t="s">
        <v>314</v>
      </c>
      <c r="K62">
        <f>AVERAGE(H62:H73)</f>
        <v>336.72265006010082</v>
      </c>
    </row>
    <row r="63" spans="1:11" x14ac:dyDescent="0.25">
      <c r="A63" s="4" t="s">
        <v>213</v>
      </c>
      <c r="B63" s="7" t="s">
        <v>39</v>
      </c>
      <c r="C63">
        <f t="shared" ref="C63:C73" si="8">C47-$C$58</f>
        <v>184.8598360000002</v>
      </c>
      <c r="D63">
        <f t="shared" ref="D63:D73" si="9">D47-$D$58</f>
        <v>254.89055499999995</v>
      </c>
      <c r="E63">
        <f t="shared" ref="E63:E73" si="10">E47-$E$58</f>
        <v>-189.40297199999998</v>
      </c>
      <c r="G63" s="6" t="s">
        <v>40</v>
      </c>
      <c r="H63">
        <f>SQRT(POWER(C63,2)+POWER(D63,2)+POWER(E63,2))</f>
        <v>367.44501601816256</v>
      </c>
    </row>
    <row r="64" spans="1:11" x14ac:dyDescent="0.25">
      <c r="A64" s="4" t="s">
        <v>214</v>
      </c>
      <c r="B64" s="7" t="s">
        <v>42</v>
      </c>
      <c r="C64">
        <f t="shared" si="8"/>
        <v>-150.72016399999984</v>
      </c>
      <c r="D64">
        <f t="shared" si="9"/>
        <v>254.89055499999995</v>
      </c>
      <c r="E64">
        <f t="shared" si="10"/>
        <v>-146.53702799999999</v>
      </c>
      <c r="G64" s="6" t="s">
        <v>43</v>
      </c>
      <c r="H64">
        <f t="shared" ref="H64:H73" si="11">SQRT(POWER(C64,2)+POWER(D64,2)+POWER(E64,2))</f>
        <v>330.39198452666437</v>
      </c>
    </row>
    <row r="65" spans="1:11" x14ac:dyDescent="0.25">
      <c r="A65" s="4" t="s">
        <v>215</v>
      </c>
      <c r="B65" s="7" t="s">
        <v>45</v>
      </c>
      <c r="C65">
        <f t="shared" si="8"/>
        <v>-150.72016399999995</v>
      </c>
      <c r="D65">
        <f t="shared" si="9"/>
        <v>-254.89055500000006</v>
      </c>
      <c r="E65">
        <f t="shared" si="10"/>
        <v>-146.53702799999999</v>
      </c>
      <c r="G65" s="6" t="s">
        <v>46</v>
      </c>
      <c r="H65">
        <f t="shared" si="11"/>
        <v>330.39198452666449</v>
      </c>
    </row>
    <row r="66" spans="1:11" x14ac:dyDescent="0.25">
      <c r="A66" s="4" t="s">
        <v>216</v>
      </c>
      <c r="B66" s="7" t="s">
        <v>48</v>
      </c>
      <c r="C66">
        <f t="shared" si="8"/>
        <v>184.85983600000009</v>
      </c>
      <c r="D66">
        <f t="shared" si="9"/>
        <v>-254.89055500000006</v>
      </c>
      <c r="E66">
        <f t="shared" si="10"/>
        <v>-189.40297199999998</v>
      </c>
      <c r="G66" s="6" t="s">
        <v>49</v>
      </c>
      <c r="H66">
        <f t="shared" si="11"/>
        <v>367.44501601816262</v>
      </c>
    </row>
    <row r="67" spans="1:11" x14ac:dyDescent="0.25">
      <c r="A67" s="4" t="s">
        <v>217</v>
      </c>
      <c r="B67" s="7" t="s">
        <v>102</v>
      </c>
      <c r="C67">
        <f t="shared" si="8"/>
        <v>339.02528800000005</v>
      </c>
      <c r="D67">
        <f t="shared" si="9"/>
        <v>0</v>
      </c>
      <c r="E67">
        <f t="shared" si="10"/>
        <v>-22.104851999999998</v>
      </c>
      <c r="G67" s="6" t="s">
        <v>135</v>
      </c>
      <c r="H67">
        <f t="shared" si="11"/>
        <v>339.74515505805948</v>
      </c>
    </row>
    <row r="68" spans="1:11" x14ac:dyDescent="0.25">
      <c r="A68" s="4" t="s">
        <v>218</v>
      </c>
      <c r="B68" s="7" t="s">
        <v>122</v>
      </c>
      <c r="C68">
        <f t="shared" si="8"/>
        <v>147.27487600000018</v>
      </c>
      <c r="D68">
        <f t="shared" si="9"/>
        <v>221.18444499999987</v>
      </c>
      <c r="E68">
        <f t="shared" si="10"/>
        <v>146.53702799999999</v>
      </c>
      <c r="G68" s="6" t="s">
        <v>136</v>
      </c>
      <c r="H68">
        <f t="shared" si="11"/>
        <v>303.45600733194618</v>
      </c>
    </row>
    <row r="69" spans="1:11" x14ac:dyDescent="0.25">
      <c r="A69" s="4" t="s">
        <v>219</v>
      </c>
      <c r="B69" s="7" t="s">
        <v>123</v>
      </c>
      <c r="C69">
        <f t="shared" si="8"/>
        <v>-188.30512399999992</v>
      </c>
      <c r="D69">
        <f t="shared" si="9"/>
        <v>221.18444499999987</v>
      </c>
      <c r="E69">
        <f t="shared" si="10"/>
        <v>189.40297199999998</v>
      </c>
      <c r="G69" s="6" t="s">
        <v>137</v>
      </c>
      <c r="H69">
        <f t="shared" si="11"/>
        <v>346.77783123643604</v>
      </c>
    </row>
    <row r="70" spans="1:11" x14ac:dyDescent="0.25">
      <c r="A70" s="4" t="s">
        <v>220</v>
      </c>
      <c r="B70" s="7" t="s">
        <v>124</v>
      </c>
      <c r="C70">
        <f t="shared" si="8"/>
        <v>-332.13471199999987</v>
      </c>
      <c r="D70">
        <f t="shared" si="9"/>
        <v>0</v>
      </c>
      <c r="E70">
        <f t="shared" si="10"/>
        <v>-22.104851999999998</v>
      </c>
      <c r="G70" s="6" t="s">
        <v>138</v>
      </c>
      <c r="H70">
        <f t="shared" si="11"/>
        <v>332.86948102411668</v>
      </c>
    </row>
    <row r="71" spans="1:11" x14ac:dyDescent="0.25">
      <c r="A71" s="4" t="s">
        <v>221</v>
      </c>
      <c r="B71" s="7" t="s">
        <v>125</v>
      </c>
      <c r="C71">
        <f t="shared" si="8"/>
        <v>-188.30512399999992</v>
      </c>
      <c r="D71">
        <f t="shared" si="9"/>
        <v>-221.18444500000004</v>
      </c>
      <c r="E71">
        <f t="shared" si="10"/>
        <v>189.40297199999998</v>
      </c>
      <c r="G71" s="6" t="s">
        <v>139</v>
      </c>
      <c r="H71">
        <f t="shared" si="11"/>
        <v>346.7778312364361</v>
      </c>
    </row>
    <row r="72" spans="1:11" x14ac:dyDescent="0.25">
      <c r="A72" s="4" t="s">
        <v>222</v>
      </c>
      <c r="B72" s="7" t="s">
        <v>126</v>
      </c>
      <c r="C72">
        <f t="shared" si="8"/>
        <v>147.27487600000006</v>
      </c>
      <c r="D72">
        <f t="shared" si="9"/>
        <v>-221.18444500000004</v>
      </c>
      <c r="E72">
        <f t="shared" si="10"/>
        <v>146.53702799999999</v>
      </c>
      <c r="G72" s="6" t="s">
        <v>140</v>
      </c>
      <c r="H72">
        <f t="shared" si="11"/>
        <v>303.45600733194624</v>
      </c>
    </row>
    <row r="73" spans="1:11" x14ac:dyDescent="0.25">
      <c r="A73" s="4" t="s">
        <v>223</v>
      </c>
      <c r="B73" s="7" t="s">
        <v>127</v>
      </c>
      <c r="C73">
        <f t="shared" si="8"/>
        <v>3.4452880000001187</v>
      </c>
      <c r="D73">
        <f t="shared" si="9"/>
        <v>0</v>
      </c>
      <c r="E73">
        <f t="shared" si="10"/>
        <v>358.04485200000005</v>
      </c>
      <c r="G73" s="6" t="s">
        <v>141</v>
      </c>
      <c r="H73">
        <f t="shared" si="11"/>
        <v>358.0614277649924</v>
      </c>
    </row>
    <row r="75" spans="1:11" x14ac:dyDescent="0.25">
      <c r="A75" s="17" t="s">
        <v>157</v>
      </c>
      <c r="B75" s="7" t="str">
        <f t="shared" ref="B75:B80" si="12">B62</f>
        <v>vector P1</v>
      </c>
      <c r="C75">
        <f>C62/$K$62</f>
        <v>1.0231827289863564E-2</v>
      </c>
      <c r="D75">
        <f>D62/$K$62</f>
        <v>0</v>
      </c>
      <c r="E75">
        <f>E62/$K$62</f>
        <v>-0.93202862339074699</v>
      </c>
      <c r="G75" s="6" t="str">
        <f>G62</f>
        <v>length of vector P1</v>
      </c>
      <c r="H75">
        <f>SQRT(POWER(C75,2)+POWER(D75,2)+POWER(E75,2))</f>
        <v>0.93208478429236286</v>
      </c>
      <c r="J75" s="6" t="s">
        <v>314</v>
      </c>
      <c r="K75">
        <f>AVERAGE(H75:H86)</f>
        <v>0.99999999999999967</v>
      </c>
    </row>
    <row r="76" spans="1:11" x14ac:dyDescent="0.25">
      <c r="A76" s="4"/>
      <c r="B76" s="7" t="str">
        <f t="shared" si="12"/>
        <v>vector P2</v>
      </c>
      <c r="C76">
        <f t="shared" ref="C76:D86" si="13">C63/$K$62</f>
        <v>0.54899733049441435</v>
      </c>
      <c r="D76">
        <f t="shared" si="13"/>
        <v>0.75697478311751565</v>
      </c>
      <c r="E76">
        <f>E63/$K$62</f>
        <v>-0.56248955027585434</v>
      </c>
      <c r="G76" s="6" t="s">
        <v>37</v>
      </c>
      <c r="H76">
        <f t="shared" ref="H76:H86" si="14">SQRT(POWER(C76,2)+POWER(D76,2)+POWER(E76,2))</f>
        <v>1.0912393803997984</v>
      </c>
    </row>
    <row r="77" spans="1:11" x14ac:dyDescent="0.25">
      <c r="A77" s="4"/>
      <c r="B77" s="7" t="str">
        <f t="shared" si="12"/>
        <v>vector P3</v>
      </c>
      <c r="C77">
        <f t="shared" si="13"/>
        <v>-0.44760922371304146</v>
      </c>
      <c r="D77">
        <f t="shared" si="13"/>
        <v>0.75697478311751565</v>
      </c>
      <c r="E77">
        <f>E64/$K$62</f>
        <v>-0.43518613307968723</v>
      </c>
      <c r="G77" s="6" t="s">
        <v>40</v>
      </c>
      <c r="H77">
        <f t="shared" si="14"/>
        <v>0.98119916930949991</v>
      </c>
    </row>
    <row r="78" spans="1:11" x14ac:dyDescent="0.25">
      <c r="A78" s="4"/>
      <c r="B78" s="7" t="str">
        <f t="shared" si="12"/>
        <v>vector P4</v>
      </c>
      <c r="C78">
        <f t="shared" si="13"/>
        <v>-0.44760922371304179</v>
      </c>
      <c r="D78">
        <f t="shared" si="13"/>
        <v>-0.75697478311751598</v>
      </c>
      <c r="E78">
        <f>E65/$K$62</f>
        <v>-0.43518613307968723</v>
      </c>
      <c r="G78" s="6" t="s">
        <v>43</v>
      </c>
      <c r="H78">
        <f t="shared" si="14"/>
        <v>0.98119916930950024</v>
      </c>
    </row>
    <row r="79" spans="1:11" x14ac:dyDescent="0.25">
      <c r="A79" s="4"/>
      <c r="B79" s="7" t="str">
        <f t="shared" si="12"/>
        <v>vector P5</v>
      </c>
      <c r="C79">
        <f t="shared" si="13"/>
        <v>0.54899733049441402</v>
      </c>
      <c r="D79">
        <f t="shared" si="13"/>
        <v>-0.75697478311751598</v>
      </c>
      <c r="E79">
        <f>E66/$K$62</f>
        <v>-0.56248955027585434</v>
      </c>
      <c r="G79" s="6" t="s">
        <v>46</v>
      </c>
      <c r="H79">
        <f t="shared" si="14"/>
        <v>1.0912393803997984</v>
      </c>
    </row>
    <row r="80" spans="1:11" x14ac:dyDescent="0.25">
      <c r="B80" s="7" t="str">
        <f t="shared" si="12"/>
        <v>vector P6</v>
      </c>
      <c r="C80">
        <f t="shared" si="13"/>
        <v>1.006838381497319</v>
      </c>
      <c r="D80">
        <f t="shared" si="13"/>
        <v>0</v>
      </c>
      <c r="E80">
        <f>E67/$K$62</f>
        <v>-6.5647059964794627E-2</v>
      </c>
      <c r="G80" s="6" t="s">
        <v>49</v>
      </c>
      <c r="H80">
        <f t="shared" si="14"/>
        <v>1.0089762449820918</v>
      </c>
    </row>
    <row r="81" spans="1:15" x14ac:dyDescent="0.25">
      <c r="B81" s="7" t="str">
        <f t="shared" ref="B81:B86" si="15">B68</f>
        <v>vector P7</v>
      </c>
      <c r="C81">
        <f>C68/$K$62</f>
        <v>0.43737739642317924</v>
      </c>
      <c r="D81">
        <f>D68/$K$62</f>
        <v>0.65687427014642819</v>
      </c>
      <c r="E81">
        <f t="shared" ref="E81:E86" si="16">E68/$K$62</f>
        <v>0.43518613307968723</v>
      </c>
      <c r="G81" s="6" t="s">
        <v>135</v>
      </c>
      <c r="H81">
        <f t="shared" si="14"/>
        <v>0.90120461833435628</v>
      </c>
    </row>
    <row r="82" spans="1:15" x14ac:dyDescent="0.25">
      <c r="B82" s="7" t="str">
        <f t="shared" si="15"/>
        <v>vector P8</v>
      </c>
      <c r="C82">
        <f t="shared" si="13"/>
        <v>-0.55922915778427673</v>
      </c>
      <c r="D82">
        <f>D69/$K$62</f>
        <v>0.65687427014642819</v>
      </c>
      <c r="E82">
        <f t="shared" si="16"/>
        <v>0.56248955027585434</v>
      </c>
      <c r="G82" s="6" t="s">
        <v>136</v>
      </c>
      <c r="H82">
        <f t="shared" si="14"/>
        <v>1.0298619091247365</v>
      </c>
    </row>
    <row r="83" spans="1:15" x14ac:dyDescent="0.25">
      <c r="B83" s="7" t="str">
        <f t="shared" si="15"/>
        <v>vector P9</v>
      </c>
      <c r="C83">
        <f t="shared" si="13"/>
        <v>-0.98637472691759209</v>
      </c>
      <c r="D83">
        <f>D70/$K$62</f>
        <v>0</v>
      </c>
      <c r="E83">
        <f t="shared" si="16"/>
        <v>-6.5647059964794627E-2</v>
      </c>
      <c r="G83" s="6" t="s">
        <v>137</v>
      </c>
      <c r="H83">
        <f t="shared" si="14"/>
        <v>0.98855684630868634</v>
      </c>
    </row>
    <row r="84" spans="1:15" x14ac:dyDescent="0.25">
      <c r="B84" s="7" t="str">
        <f t="shared" si="15"/>
        <v>vector P10</v>
      </c>
      <c r="C84">
        <f t="shared" si="13"/>
        <v>-0.55922915778427673</v>
      </c>
      <c r="D84">
        <f>D71/$K$62</f>
        <v>-0.65687427014642874</v>
      </c>
      <c r="E84">
        <f t="shared" si="16"/>
        <v>0.56248955027585434</v>
      </c>
      <c r="G84" s="6" t="s">
        <v>138</v>
      </c>
      <c r="H84">
        <f t="shared" si="14"/>
        <v>1.029861909124737</v>
      </c>
    </row>
    <row r="85" spans="1:15" x14ac:dyDescent="0.25">
      <c r="B85" s="7" t="str">
        <f t="shared" si="15"/>
        <v>vector P11</v>
      </c>
      <c r="C85">
        <f>C72/$K$62</f>
        <v>0.43737739642317891</v>
      </c>
      <c r="D85">
        <f>D72/$K$62</f>
        <v>-0.65687427014642874</v>
      </c>
      <c r="E85">
        <f t="shared" si="16"/>
        <v>0.43518613307968723</v>
      </c>
      <c r="G85" s="6" t="s">
        <v>139</v>
      </c>
      <c r="H85">
        <f t="shared" si="14"/>
        <v>0.9012046183343565</v>
      </c>
    </row>
    <row r="86" spans="1:15" x14ac:dyDescent="0.25">
      <c r="B86" s="7" t="str">
        <f t="shared" si="15"/>
        <v>vector P12</v>
      </c>
      <c r="C86">
        <f t="shared" si="13"/>
        <v>1.0231827289863564E-2</v>
      </c>
      <c r="D86">
        <f>D73/$K$62</f>
        <v>0</v>
      </c>
      <c r="E86">
        <f t="shared" si="16"/>
        <v>1.0633227433203365</v>
      </c>
      <c r="G86" s="6" t="s">
        <v>140</v>
      </c>
      <c r="H86">
        <f t="shared" si="14"/>
        <v>1.063371970080073</v>
      </c>
    </row>
    <row r="88" spans="1:15" x14ac:dyDescent="0.25">
      <c r="A88" s="19" t="s">
        <v>177</v>
      </c>
      <c r="B88" s="7"/>
      <c r="C88" t="s">
        <v>63</v>
      </c>
      <c r="D88" t="s">
        <v>64</v>
      </c>
      <c r="E88" t="s">
        <v>65</v>
      </c>
      <c r="J88" t="s">
        <v>87</v>
      </c>
      <c r="K88" t="s">
        <v>88</v>
      </c>
    </row>
    <row r="89" spans="1:15" x14ac:dyDescent="0.25">
      <c r="B89" s="7" t="str">
        <f t="shared" ref="B89:B100" si="17">E11</f>
        <v>P1*</v>
      </c>
      <c r="C89">
        <f>C102*C92+D102*D92+E102*E92</f>
        <v>0.33112402393945362</v>
      </c>
      <c r="D89">
        <f>C103*C92+D103*D92+E103*E92</f>
        <v>-0.94358578053509845</v>
      </c>
      <c r="E89">
        <f>C104*C92+D104*D92+E104*E92</f>
        <v>1.6599825639994348E-3</v>
      </c>
      <c r="G89" s="6" t="s">
        <v>67</v>
      </c>
      <c r="H89">
        <f>SQRT(POWER(C89,2)+POWER(D89,2)+POWER(E89,2))</f>
        <v>0.99999999999999978</v>
      </c>
      <c r="I89" s="6"/>
      <c r="J89">
        <f>ACOS((C89*C91+D89*D91+E89*E91)/(SQRT(C89^2+D89^2+E89^2)*SQRT(C91^2+D91^2+E91^2)))</f>
        <v>1.0471975511965974</v>
      </c>
      <c r="K89">
        <f>DEGREES(J89)</f>
        <v>59.999999999999986</v>
      </c>
      <c r="L89" t="s">
        <v>158</v>
      </c>
      <c r="M89">
        <f>ACOS((C89*C92+D89*D92+E89*E92)/(SQRT(C89^2+D89^2+E89^2)*SQRT(C92^2+D92^2+E92^2)))</f>
        <v>1.0471975511965974</v>
      </c>
      <c r="N89">
        <f>DEGREES(M89)</f>
        <v>59.999999999999986</v>
      </c>
      <c r="O89" t="s">
        <v>166</v>
      </c>
    </row>
    <row r="90" spans="1:15" x14ac:dyDescent="0.25">
      <c r="B90" s="7" t="str">
        <f t="shared" si="17"/>
        <v>P2*</v>
      </c>
      <c r="C90">
        <f>C106*C94+D106*D94+E106*E94</f>
        <v>0.83361064931163298</v>
      </c>
      <c r="D90">
        <f>C107*C94+D107*D94+E107*E94</f>
        <v>-0.23648393386586036</v>
      </c>
      <c r="E90">
        <f>C108*C94+D108*D94+E108*E94</f>
        <v>0.49916794205714471</v>
      </c>
      <c r="G90" s="6" t="s">
        <v>68</v>
      </c>
      <c r="H90">
        <f t="shared" ref="H90:H100" si="18">SQRT(POWER(C90,2)+POWER(D90,2)+POWER(E90,2))</f>
        <v>1</v>
      </c>
      <c r="J90">
        <f>ACOS((C90*C91+D90*D91+E90*E91)/(SQRT(C90^2+D90^2+E90^2)*SQRT(C91^2+D91^2+E91^2)))</f>
        <v>1.0471975511965974</v>
      </c>
      <c r="K90">
        <f>DEGREES(J90)</f>
        <v>59.999999999999986</v>
      </c>
      <c r="L90" t="s">
        <v>159</v>
      </c>
      <c r="M90">
        <f>ACOS((C90*C94+D90*D94+E90*E94)/(SQRT(C90^2+D90^2+E90^2)*SQRT(C94^2+D94^2+E94^2)))</f>
        <v>1.0471975511965974</v>
      </c>
      <c r="N90">
        <f>DEGREES(M90)</f>
        <v>59.999999999999986</v>
      </c>
      <c r="O90" t="s">
        <v>167</v>
      </c>
    </row>
    <row r="91" spans="1:15" x14ac:dyDescent="0.25">
      <c r="B91" s="7" t="str">
        <f t="shared" si="17"/>
        <v>P3*</v>
      </c>
      <c r="C91">
        <f>C102*C97+D102*D97+E102*E97</f>
        <v>0.83194516902238647</v>
      </c>
      <c r="D91">
        <f>C103*C97+D103*D97+E103*E97</f>
        <v>-0.23882760657007496</v>
      </c>
      <c r="E91">
        <f>C104*C97+D104*D97+E104*E97</f>
        <v>-0.50082792462114367</v>
      </c>
      <c r="G91" s="6" t="s">
        <v>69</v>
      </c>
      <c r="H91">
        <f t="shared" si="18"/>
        <v>0.99999999999999978</v>
      </c>
      <c r="J91">
        <f>ACOS((C91*C92+D91*D92+E91*E92)/(SQRT(C91^2+D91^2+E91^2)*SQRT(C92^2+D92^2+E92^2)))</f>
        <v>1.5707963267948966</v>
      </c>
      <c r="K91">
        <f>DEGREES(J91)</f>
        <v>90</v>
      </c>
      <c r="L91" t="s">
        <v>160</v>
      </c>
    </row>
    <row r="92" spans="1:15" x14ac:dyDescent="0.25">
      <c r="B92" s="7" t="str">
        <f t="shared" si="17"/>
        <v>P4*</v>
      </c>
      <c r="C92">
        <f>SIN($I$28)*COS($I$29)</f>
        <v>-0.50248662537217903</v>
      </c>
      <c r="D92">
        <f>SIN($I$28)*SIN($I$29)</f>
        <v>-0.70710184666923792</v>
      </c>
      <c r="E92">
        <f>COS($I$28)</f>
        <v>-0.49750795949314525</v>
      </c>
      <c r="G92" s="6" t="s">
        <v>70</v>
      </c>
      <c r="H92">
        <f t="shared" si="18"/>
        <v>1</v>
      </c>
      <c r="J92">
        <f t="shared" ref="J92:J99" si="19">ACOS((C92*C93+D92*D93+E92*E93)/(SQRT(C92^2+D92^2+E92^2)*SQRT(C93^2+D93^2+E93^2)))</f>
        <v>1.0471975511965974</v>
      </c>
      <c r="K92">
        <f>DEGREES(J92)</f>
        <v>59.999999999999986</v>
      </c>
      <c r="L92" t="s">
        <v>161</v>
      </c>
      <c r="M92">
        <f>ACOS((C92*C94+D92*D94+E92*E94)/(SQRT(C92^2+D92^2+E92^2)*SQRT(C94^2+D94^2+E94^2)))</f>
        <v>2.0943951023931957</v>
      </c>
      <c r="N92">
        <f>DEGREES(M92)</f>
        <v>120.00000000000001</v>
      </c>
    </row>
    <row r="93" spans="1:15" x14ac:dyDescent="0.25">
      <c r="B93" s="7" t="str">
        <f t="shared" si="17"/>
        <v>P5*</v>
      </c>
      <c r="C93">
        <f>SIN(PI()/3+$I$28)*COS($I$29)</f>
        <v>-0.50082114508293274</v>
      </c>
      <c r="D93">
        <f>SIN(PI()/3+$I$28)*SIN($I$29)</f>
        <v>-0.70475817396502394</v>
      </c>
      <c r="E93">
        <f>COS((PI()*(1/3))+$I$28)</f>
        <v>0.50248790718514313</v>
      </c>
      <c r="G93" s="6" t="s">
        <v>71</v>
      </c>
      <c r="H93">
        <f t="shared" si="18"/>
        <v>1</v>
      </c>
      <c r="J93">
        <f t="shared" si="19"/>
        <v>1.0471975511965983</v>
      </c>
      <c r="K93">
        <f>DEGREES(J93)</f>
        <v>60.000000000000036</v>
      </c>
      <c r="L93" t="s">
        <v>149</v>
      </c>
      <c r="M93">
        <f>ACOS((C93*C95+D93*D95+E93*E95)/(SQRT(C93^2+D93^2+E93^2)*SQRT(C95^2+D95^2+E95^2)))</f>
        <v>2.0943951023931957</v>
      </c>
      <c r="N93">
        <f>DEGREES(M93)</f>
        <v>120.00000000000001</v>
      </c>
    </row>
    <row r="94" spans="1:15" x14ac:dyDescent="0.25">
      <c r="B94" s="7" t="str">
        <f t="shared" si="17"/>
        <v>P6*</v>
      </c>
      <c r="C94">
        <f>SIN(PI()*(2/3)+$I$28)*COS($I$29)</f>
        <v>1.6654802892465596E-3</v>
      </c>
      <c r="D94">
        <f>SIN(PI()*(2/3)+$I$28)*SIN($I$29)</f>
        <v>2.3436727042141525E-3</v>
      </c>
      <c r="E94">
        <f>COS((PI()*(2/3))+$I$28)</f>
        <v>0.99999586667828866</v>
      </c>
      <c r="G94" s="6" t="s">
        <v>142</v>
      </c>
      <c r="H94">
        <f t="shared" si="18"/>
        <v>1</v>
      </c>
      <c r="J94">
        <f>ACOS((C94*C95+D94*D95+E94*E95)/(SQRT(C94^2+D94^2+E94^2)*SQRT(C95^2+D95^2+E95^2)))</f>
        <v>1.0471975511965974</v>
      </c>
      <c r="K94">
        <f t="shared" ref="K94:K99" si="20">DEGREES(J94)</f>
        <v>59.999999999999986</v>
      </c>
      <c r="L94" t="s">
        <v>150</v>
      </c>
      <c r="M94">
        <f>ACOS((C94*C96+D94*D96+E94*E96)/(SQRT(C94^2+D94^2+E94^2)*SQRT(C96^2+D96^2+E96^2)))</f>
        <v>2.0943951023931948</v>
      </c>
      <c r="N94">
        <f>DEGREES(M94)</f>
        <v>119.99999999999997</v>
      </c>
    </row>
    <row r="95" spans="1:15" x14ac:dyDescent="0.25">
      <c r="B95" s="7" t="str">
        <f t="shared" si="17"/>
        <v>P7*</v>
      </c>
      <c r="C95">
        <f>SIN(PI()*(3/3)+$I$28)*COS($I$29)</f>
        <v>0.50248662537217903</v>
      </c>
      <c r="D95">
        <f>SIN(PI()*(3/3)+$I$28)*SIN($I$29)</f>
        <v>0.70710184666923781</v>
      </c>
      <c r="E95">
        <f>COS((PI()*(3/3))+$I$28)</f>
        <v>0.49750795949314536</v>
      </c>
      <c r="G95" s="6" t="s">
        <v>143</v>
      </c>
      <c r="H95">
        <f t="shared" si="18"/>
        <v>1</v>
      </c>
      <c r="J95">
        <f t="shared" si="19"/>
        <v>1.0471975511965974</v>
      </c>
      <c r="K95">
        <f t="shared" si="20"/>
        <v>59.999999999999986</v>
      </c>
      <c r="L95" t="s">
        <v>151</v>
      </c>
      <c r="M95">
        <f>ACOS((C95*C97+D95*D97+E95*E97)/(SQRT(C95^2+D95^2+E95^2)*SQRT(C97^2+D97^2+E97^2)))</f>
        <v>2.0943951023931957</v>
      </c>
      <c r="N95">
        <f>DEGREES(M95)</f>
        <v>120.00000000000001</v>
      </c>
    </row>
    <row r="96" spans="1:15" x14ac:dyDescent="0.25">
      <c r="B96" s="7" t="str">
        <f t="shared" si="17"/>
        <v>P8*</v>
      </c>
      <c r="C96">
        <f>SIN(PI()*(4/3)+$I$28)*COS($I$29)</f>
        <v>0.50082114508293274</v>
      </c>
      <c r="D96">
        <f>SIN(PI()*(4/3)+$I$28)*SIN($I$29)</f>
        <v>0.70475817396502405</v>
      </c>
      <c r="E96">
        <f>COS((PI()*(4/3))+$I$28)</f>
        <v>-0.50248790718514302</v>
      </c>
      <c r="G96" s="6" t="s">
        <v>144</v>
      </c>
      <c r="H96">
        <f>SQRT(POWER(C96,2)+POWER(D96,2)+POWER(E96,2))</f>
        <v>1</v>
      </c>
      <c r="J96">
        <f t="shared" si="19"/>
        <v>1.0471975511965983</v>
      </c>
      <c r="K96">
        <f t="shared" si="20"/>
        <v>60.000000000000036</v>
      </c>
      <c r="L96" t="s">
        <v>152</v>
      </c>
      <c r="M96">
        <f>ACOS((C96*C92+D96*D92+E96*E92)/(SQRT(C96^2+D96^2+E96^2)*SQRT(C92^2+D92^2+E92^2)))</f>
        <v>2.0943951023931962</v>
      </c>
      <c r="N96">
        <f>DEGREES(M96)</f>
        <v>120.00000000000004</v>
      </c>
    </row>
    <row r="97" spans="1:12" x14ac:dyDescent="0.25">
      <c r="B97" s="7" t="str">
        <f t="shared" si="17"/>
        <v>P9*</v>
      </c>
      <c r="C97">
        <f>SIN(PI()*(5/3)+$I$28)*COS($I$29)</f>
        <v>-1.6654802892464887E-3</v>
      </c>
      <c r="D97">
        <f>SIN(PI()*(5/3)+$I$28)*SIN($I$29)</f>
        <v>-2.3436727042140532E-3</v>
      </c>
      <c r="E97">
        <f>COS((PI()*(5/3))+$I$28)</f>
        <v>-0.99999586667828866</v>
      </c>
      <c r="G97" s="6" t="s">
        <v>145</v>
      </c>
      <c r="H97">
        <f t="shared" si="18"/>
        <v>1</v>
      </c>
      <c r="J97">
        <f>ACOS((C97*C98+D97*D98+E97*E98)/(SQRT(C97^2+D97^2+E97^2)*SQRT(C98^2+D98^2+E98^2)))</f>
        <v>1.0471975511965974</v>
      </c>
      <c r="K97">
        <f t="shared" si="20"/>
        <v>59.999999999999986</v>
      </c>
      <c r="L97" t="s">
        <v>153</v>
      </c>
    </row>
    <row r="98" spans="1:12" x14ac:dyDescent="0.25">
      <c r="B98" s="7" t="str">
        <f t="shared" si="17"/>
        <v>P10*</v>
      </c>
      <c r="C98">
        <f>C106*C97+D106*D97+E106*E97</f>
        <v>-0.83361064931163298</v>
      </c>
      <c r="D98">
        <f>C107*C97+D107*D97+E107*E97</f>
        <v>0.23648393386586047</v>
      </c>
      <c r="E98">
        <f>C108*C97+D108*D97+E108*E97</f>
        <v>-0.49916794205714465</v>
      </c>
      <c r="G98" s="6" t="s">
        <v>146</v>
      </c>
      <c r="H98">
        <f t="shared" si="18"/>
        <v>1</v>
      </c>
      <c r="J98">
        <f>ACOS((C98*C99+D98*D99+E98*E99)/(SQRT(C98^2+D98^2+E98^2)*SQRT(C99^2+D99^2+E99^2)))</f>
        <v>1.0471975511965974</v>
      </c>
      <c r="K98">
        <f t="shared" si="20"/>
        <v>59.999999999999986</v>
      </c>
      <c r="L98" t="s">
        <v>154</v>
      </c>
    </row>
    <row r="99" spans="1:12" x14ac:dyDescent="0.25">
      <c r="B99" s="7" t="str">
        <f t="shared" si="17"/>
        <v>P11*</v>
      </c>
      <c r="C99">
        <f>C102*C94+D102*D94+E102*E94</f>
        <v>-0.83194516902238647</v>
      </c>
      <c r="D99">
        <f>C103*C94+D103*D94+E103*E94</f>
        <v>0.2388276065700751</v>
      </c>
      <c r="E99">
        <f>C104*C94+D104*D94+E104*E94</f>
        <v>0.50082792462114367</v>
      </c>
      <c r="G99" s="6" t="s">
        <v>147</v>
      </c>
      <c r="H99">
        <f>SQRT(POWER(C99,2)+POWER(D99,2)+POWER(E99,2))</f>
        <v>0.99999999999999989</v>
      </c>
      <c r="J99">
        <f t="shared" si="19"/>
        <v>1.0471975511965974</v>
      </c>
      <c r="K99">
        <f t="shared" si="20"/>
        <v>59.999999999999986</v>
      </c>
      <c r="L99" t="s">
        <v>155</v>
      </c>
    </row>
    <row r="100" spans="1:12" x14ac:dyDescent="0.25">
      <c r="B100" s="7" t="str">
        <f t="shared" si="17"/>
        <v>P12*</v>
      </c>
      <c r="C100">
        <f>C102*C95+D102*D95+E102*E95</f>
        <v>-0.33112402393945373</v>
      </c>
      <c r="D100">
        <f>C103*C95+D103*D95+E103*E95</f>
        <v>0.94358578053509845</v>
      </c>
      <c r="E100">
        <f>C104*C95+D104*D95+E104*E95</f>
        <v>-1.6599825639993793E-3</v>
      </c>
      <c r="G100" s="6" t="s">
        <v>148</v>
      </c>
      <c r="H100">
        <f t="shared" si="18"/>
        <v>0.99999999999999978</v>
      </c>
      <c r="J100">
        <f>ACOS((C100*C89+D100*D89+E100*E89)/(SQRT(C100^2+D100^2+E100^2)*SQRT(C89^2+D89^2+E89^2)))</f>
        <v>3.1415926535897931</v>
      </c>
      <c r="K100">
        <f>DEGREES(J100)</f>
        <v>180</v>
      </c>
      <c r="L100" t="s">
        <v>156</v>
      </c>
    </row>
    <row r="101" spans="1:12" x14ac:dyDescent="0.25">
      <c r="B101" s="7"/>
      <c r="G101" s="6"/>
    </row>
    <row r="102" spans="1:12" x14ac:dyDescent="0.25">
      <c r="A102" s="67" t="s">
        <v>163</v>
      </c>
      <c r="C102">
        <f>(C93^2)*(1-COS(H103))+COS(H103)</f>
        <v>0.50054787957478664</v>
      </c>
      <c r="D102">
        <f>C93*D93*(1-COS(H103))-E93*SIN(H103)</f>
        <v>-0.23844494505198827</v>
      </c>
      <c r="E102">
        <f>C93*E93*(1-COS(H103))+D93*SIN(H103)</f>
        <v>-0.83222342458761578</v>
      </c>
      <c r="G102" s="6" t="s">
        <v>164</v>
      </c>
      <c r="H102" t="s">
        <v>29</v>
      </c>
    </row>
    <row r="103" spans="1:12" x14ac:dyDescent="0.25">
      <c r="A103" s="68"/>
      <c r="B103" t="s">
        <v>361</v>
      </c>
      <c r="C103">
        <f>D93*C93*(1-COS(H103))+E93*SIN(H103)</f>
        <v>0.70905533930761488</v>
      </c>
      <c r="D103">
        <f>(D93^2)*(1-COS(H103))+COS(H103)</f>
        <v>0.66445605584700984</v>
      </c>
      <c r="E103">
        <f>D93*E93*(1-COS(H103))-C93*SIN(H103)</f>
        <v>0.23609039719479935</v>
      </c>
      <c r="G103" s="6">
        <f>DEGREES(H103)</f>
        <v>70.528779365509308</v>
      </c>
      <c r="H103">
        <f>ACOS(1/3)</f>
        <v>1.2309594173407747</v>
      </c>
    </row>
    <row r="104" spans="1:12" x14ac:dyDescent="0.25">
      <c r="C104">
        <f>E93*C93*(1-COS(H103))-D93*SIN(H103)</f>
        <v>0.49668133249856272</v>
      </c>
      <c r="D104">
        <f>D93*E93*(1-COS(H103))+C93*SIN(H103)</f>
        <v>-0.70826701040454321</v>
      </c>
      <c r="E104">
        <f>(E93^2)*(1-COS(H103))+COS(H103)</f>
        <v>0.50166273124486993</v>
      </c>
      <c r="G104" s="6"/>
    </row>
    <row r="105" spans="1:12" x14ac:dyDescent="0.25">
      <c r="B105" s="7"/>
      <c r="G105" s="6"/>
    </row>
    <row r="106" spans="1:12" x14ac:dyDescent="0.25">
      <c r="A106" s="67" t="s">
        <v>165</v>
      </c>
      <c r="C106">
        <f>(C92^2)*(1-COS(H107))+COS(H107)</f>
        <v>0.50166187245194704</v>
      </c>
      <c r="D106">
        <f>C92*D92*(1-COS(H107))-E92*SIN(H107)</f>
        <v>-0.23218218865100598</v>
      </c>
      <c r="E106">
        <f>C92*E92*(1-COS(H107))+D92*SIN(H107)</f>
        <v>0.83332274480013746</v>
      </c>
      <c r="G106" s="6" t="s">
        <v>164</v>
      </c>
      <c r="H106" t="s">
        <v>29</v>
      </c>
    </row>
    <row r="107" spans="1:12" x14ac:dyDescent="0.25">
      <c r="A107" s="68"/>
      <c r="B107" t="s">
        <v>362</v>
      </c>
      <c r="C107">
        <f>D92*C92*(1-COS(H107))+E92*SIN(H107)</f>
        <v>0.70592781628735457</v>
      </c>
      <c r="D107">
        <f>(D92^2)*(1-COS(H107))+COS(H107)</f>
        <v>0.66666201437536432</v>
      </c>
      <c r="E107">
        <f>D92*E92*(1-COS(H107))-C92*SIN(H107)</f>
        <v>-0.23922306908145108</v>
      </c>
      <c r="G107" s="6">
        <f>DEGREES(H107)</f>
        <v>-70.528779365509308</v>
      </c>
      <c r="H107">
        <f>-H103</f>
        <v>-1.2309594173407747</v>
      </c>
    </row>
    <row r="108" spans="1:12" x14ac:dyDescent="0.25">
      <c r="C108">
        <f>E92*C92*(1-COS(H107))-D92*SIN(H107)</f>
        <v>-0.50000128391812515</v>
      </c>
      <c r="D108">
        <f>D92*E92*(1-COS(H107))+C92*SIN(H107)</f>
        <v>0.70827479826844775</v>
      </c>
      <c r="E108">
        <f>(E92^2)*(1-COS(H107))+COS(H107)</f>
        <v>0.49834277983935532</v>
      </c>
      <c r="G108" s="6"/>
    </row>
    <row r="110" spans="1:12" x14ac:dyDescent="0.25">
      <c r="A110" s="19" t="s">
        <v>224</v>
      </c>
      <c r="B110" s="7" t="s">
        <v>73</v>
      </c>
      <c r="C110">
        <f t="shared" ref="C110:E121" si="21">C89-C75</f>
        <v>0.32089219664959007</v>
      </c>
      <c r="D110">
        <f t="shared" si="21"/>
        <v>-0.94358578053509845</v>
      </c>
      <c r="E110">
        <f t="shared" si="21"/>
        <v>0.93368860595474645</v>
      </c>
      <c r="G110" s="6" t="s">
        <v>78</v>
      </c>
      <c r="H110">
        <f>SQRT(POWER(C110,2)+POWER(D110,2)+POWER(E110,2))</f>
        <v>1.3656867649605264</v>
      </c>
    </row>
    <row r="111" spans="1:12" x14ac:dyDescent="0.25">
      <c r="B111" s="7" t="s">
        <v>74</v>
      </c>
      <c r="C111">
        <f t="shared" si="21"/>
        <v>0.28461331881721863</v>
      </c>
      <c r="D111">
        <f t="shared" si="21"/>
        <v>-0.99345871698337596</v>
      </c>
      <c r="E111">
        <f t="shared" si="21"/>
        <v>1.0616574923329991</v>
      </c>
      <c r="G111" s="6" t="s">
        <v>78</v>
      </c>
      <c r="H111">
        <f>SQRT(POWER(C111,2)+POWER(D111,2)+POWER(E111,2))</f>
        <v>1.4815807755992245</v>
      </c>
    </row>
    <row r="112" spans="1:12" x14ac:dyDescent="0.25">
      <c r="B112" s="7" t="s">
        <v>75</v>
      </c>
      <c r="C112">
        <f t="shared" si="21"/>
        <v>1.2795543927354278</v>
      </c>
      <c r="D112">
        <f t="shared" si="21"/>
        <v>-0.99580238968759061</v>
      </c>
      <c r="E112">
        <f t="shared" si="21"/>
        <v>-6.564179154145644E-2</v>
      </c>
      <c r="G112" s="6" t="s">
        <v>78</v>
      </c>
      <c r="H112">
        <f t="shared" ref="H112:H121" si="22">SQRT(POWER(C112,2)+POWER(D112,2)+POWER(E112,2))</f>
        <v>1.6227109071158725</v>
      </c>
    </row>
    <row r="113" spans="1:12" x14ac:dyDescent="0.25">
      <c r="B113" s="7" t="s">
        <v>76</v>
      </c>
      <c r="C113">
        <f t="shared" si="21"/>
        <v>-5.4877401659137237E-2</v>
      </c>
      <c r="D113">
        <f t="shared" si="21"/>
        <v>4.987293644827806E-2</v>
      </c>
      <c r="E113">
        <f t="shared" si="21"/>
        <v>-6.2321826413458015E-2</v>
      </c>
      <c r="G113" s="6" t="s">
        <v>78</v>
      </c>
      <c r="H113">
        <f t="shared" si="22"/>
        <v>9.68651074966701E-2</v>
      </c>
    </row>
    <row r="114" spans="1:12" x14ac:dyDescent="0.25">
      <c r="B114" s="7" t="s">
        <v>77</v>
      </c>
      <c r="C114">
        <f t="shared" si="21"/>
        <v>-1.0498184755773468</v>
      </c>
      <c r="D114">
        <f t="shared" si="21"/>
        <v>5.2216609152492044E-2</v>
      </c>
      <c r="E114">
        <f t="shared" si="21"/>
        <v>1.0649774574609974</v>
      </c>
      <c r="G114" s="6" t="s">
        <v>78</v>
      </c>
      <c r="H114">
        <f t="shared" si="22"/>
        <v>1.4963363227680531</v>
      </c>
    </row>
    <row r="115" spans="1:12" x14ac:dyDescent="0.25">
      <c r="B115" s="7" t="s">
        <v>103</v>
      </c>
      <c r="C115">
        <f t="shared" si="21"/>
        <v>-1.0051729012080723</v>
      </c>
      <c r="D115">
        <f t="shared" si="21"/>
        <v>2.3436727042141525E-3</v>
      </c>
      <c r="E115">
        <f t="shared" si="21"/>
        <v>1.0656429266430834</v>
      </c>
      <c r="G115" s="6" t="s">
        <v>78</v>
      </c>
      <c r="H115">
        <f t="shared" si="22"/>
        <v>1.4649139569371417</v>
      </c>
    </row>
    <row r="116" spans="1:12" x14ac:dyDescent="0.25">
      <c r="B116" s="7" t="s">
        <v>128</v>
      </c>
      <c r="C116">
        <f t="shared" si="21"/>
        <v>6.5109228948999787E-2</v>
      </c>
      <c r="D116">
        <f t="shared" si="21"/>
        <v>5.0227576522809625E-2</v>
      </c>
      <c r="E116">
        <f t="shared" si="21"/>
        <v>6.2321826413458126E-2</v>
      </c>
      <c r="G116" s="6" t="s">
        <v>78</v>
      </c>
      <c r="H116">
        <f t="shared" si="22"/>
        <v>0.10317960644040651</v>
      </c>
    </row>
    <row r="117" spans="1:12" x14ac:dyDescent="0.25">
      <c r="B117" s="7" t="s">
        <v>129</v>
      </c>
      <c r="C117">
        <f t="shared" si="21"/>
        <v>1.0600503028672095</v>
      </c>
      <c r="D117">
        <f t="shared" si="21"/>
        <v>4.7883903818595863E-2</v>
      </c>
      <c r="E117">
        <f t="shared" si="21"/>
        <v>-1.0649774574609974</v>
      </c>
      <c r="G117" s="6" t="s">
        <v>78</v>
      </c>
      <c r="H117">
        <f t="shared" si="22"/>
        <v>1.5033883389709599</v>
      </c>
    </row>
    <row r="118" spans="1:12" x14ac:dyDescent="0.25">
      <c r="B118" s="7" t="s">
        <v>130</v>
      </c>
      <c r="C118">
        <f t="shared" si="21"/>
        <v>0.98470924662834558</v>
      </c>
      <c r="D118">
        <f t="shared" si="21"/>
        <v>-2.3436727042140532E-3</v>
      </c>
      <c r="E118">
        <f t="shared" si="21"/>
        <v>-0.93434880671349407</v>
      </c>
      <c r="G118" s="6" t="s">
        <v>78</v>
      </c>
      <c r="H118">
        <f t="shared" si="22"/>
        <v>1.3574481521605304</v>
      </c>
    </row>
    <row r="119" spans="1:12" x14ac:dyDescent="0.25">
      <c r="B119" s="7" t="s">
        <v>131</v>
      </c>
      <c r="C119">
        <f t="shared" si="21"/>
        <v>-0.27438149152735625</v>
      </c>
      <c r="D119">
        <f t="shared" si="21"/>
        <v>0.89335820401228916</v>
      </c>
      <c r="E119">
        <f t="shared" si="21"/>
        <v>-1.0616574923329991</v>
      </c>
      <c r="G119" s="6" t="s">
        <v>78</v>
      </c>
      <c r="H119">
        <f t="shared" si="22"/>
        <v>1.4143870455415066</v>
      </c>
    </row>
    <row r="120" spans="1:12" x14ac:dyDescent="0.25">
      <c r="B120" s="7" t="s">
        <v>132</v>
      </c>
      <c r="C120">
        <f t="shared" si="21"/>
        <v>-1.2693225654455653</v>
      </c>
      <c r="D120">
        <f t="shared" si="21"/>
        <v>0.89570187671650381</v>
      </c>
      <c r="E120">
        <f t="shared" si="21"/>
        <v>6.564179154145644E-2</v>
      </c>
      <c r="G120" s="6" t="s">
        <v>78</v>
      </c>
      <c r="H120">
        <f t="shared" si="22"/>
        <v>1.5549181560132195</v>
      </c>
    </row>
    <row r="121" spans="1:12" x14ac:dyDescent="0.25">
      <c r="B121" s="7" t="s">
        <v>133</v>
      </c>
      <c r="C121">
        <f t="shared" si="21"/>
        <v>-0.34135585122931728</v>
      </c>
      <c r="D121">
        <f t="shared" si="21"/>
        <v>0.94358578053509845</v>
      </c>
      <c r="E121">
        <f t="shared" si="21"/>
        <v>-1.0649827258843358</v>
      </c>
      <c r="G121" s="6" t="s">
        <v>78</v>
      </c>
      <c r="H121">
        <f t="shared" si="22"/>
        <v>1.4632382406254125</v>
      </c>
    </row>
    <row r="122" spans="1:12" x14ac:dyDescent="0.25">
      <c r="B122" s="7"/>
    </row>
    <row r="124" spans="1:12" x14ac:dyDescent="0.25">
      <c r="A124" s="67" t="s">
        <v>165</v>
      </c>
      <c r="C124">
        <f>(C92^2)*(1-COS($I$30))+COS($I$30)</f>
        <v>1.6510282709270019E-5</v>
      </c>
      <c r="D124">
        <f>C92*D92*(1-COS($I$30))-E92*SIN($I$30)</f>
        <v>7.0466821543666014E-3</v>
      </c>
      <c r="E124">
        <f>C92*E92*(1-COS($I$30))+D92*SIN($I$30)</f>
        <v>0.99997517169079053</v>
      </c>
    </row>
    <row r="125" spans="1:12" x14ac:dyDescent="0.25">
      <c r="A125" s="68"/>
      <c r="B125" t="s">
        <v>237</v>
      </c>
      <c r="C125">
        <f>D92*C92*(1-COS($I$30))+E92*SIN($I$30)</f>
        <v>0.94358859894084324</v>
      </c>
      <c r="D125">
        <f>(D92^2)*(1-COS($I$30))+COS($I$30)</f>
        <v>0.33111182208687562</v>
      </c>
      <c r="E125">
        <f>D92*E92*(1-COS($I$30))-C92*SIN($I$30)</f>
        <v>-2.348877000973526E-3</v>
      </c>
    </row>
    <row r="126" spans="1:12" x14ac:dyDescent="0.25">
      <c r="C126">
        <f>E92*C92*(1-COS($I$30))-D92*SIN($I$30)</f>
        <v>-0.33112015292981939</v>
      </c>
      <c r="D126">
        <f>D92*E92*(1-COS($I$30))+C92*SIN($I$30)</f>
        <v>0.94356521001196558</v>
      </c>
      <c r="E126">
        <f>(E92^2)*(1-COS($I$30))+COS($I$30)</f>
        <v>-6.6437021914291239E-3</v>
      </c>
    </row>
    <row r="127" spans="1:12" x14ac:dyDescent="0.25">
      <c r="J127" t="s">
        <v>87</v>
      </c>
      <c r="K127" t="s">
        <v>88</v>
      </c>
    </row>
    <row r="128" spans="1:12" x14ac:dyDescent="0.25">
      <c r="A128" s="19" t="s">
        <v>341</v>
      </c>
      <c r="B128" s="7" t="str">
        <f t="shared" ref="B128:B139" si="23">B89</f>
        <v>P1*</v>
      </c>
      <c r="C128">
        <f>C89*$C$124+D89*$D$124+E89*$E$124</f>
        <v>-4.9837407801246337E-3</v>
      </c>
      <c r="D128">
        <f t="shared" ref="D128:D139" si="24">C89*$C$125+D89*$D$125+E89*$E$125</f>
        <v>8.547641573535053E-6</v>
      </c>
      <c r="E128">
        <f t="shared" ref="E128:E139" si="25">C89*$C$126+D89*$D$126+E89*$E$126</f>
        <v>-0.99998758105027186</v>
      </c>
      <c r="G128" t="str">
        <f>G89</f>
        <v>length of vector P1*</v>
      </c>
      <c r="H128">
        <f>H89</f>
        <v>0.99999999999999978</v>
      </c>
      <c r="J128">
        <f>ACOS((C128*C129+D128*D129+E128*E129)/(SQRT(C128^2+D128^2+E128^2)*SQRT(C129^2+D129^2+E129^2)))</f>
        <v>1.0471975511965983</v>
      </c>
      <c r="K128">
        <f t="shared" ref="K128:K133" si="26">DEGREES(J128)</f>
        <v>60.000000000000036</v>
      </c>
      <c r="L128" t="s">
        <v>80</v>
      </c>
    </row>
    <row r="129" spans="1:12" x14ac:dyDescent="0.25">
      <c r="B129" s="7" t="str">
        <f t="shared" si="23"/>
        <v>P2*</v>
      </c>
      <c r="C129">
        <f t="shared" ref="C129:C139" si="27">C90*$C$124+D90*$D$124+E90*$E$124</f>
        <v>0.4975028845920545</v>
      </c>
      <c r="D129">
        <f t="shared" si="24"/>
        <v>0.70711039431081191</v>
      </c>
      <c r="E129">
        <f t="shared" si="25"/>
        <v>-0.50247962155712644</v>
      </c>
      <c r="G129" s="6" t="s">
        <v>67</v>
      </c>
      <c r="H129">
        <f>SQRT(POWER(C129,2)+POWER(D129,2)+POWER(E129,2))</f>
        <v>1</v>
      </c>
      <c r="J129">
        <f>ACOS((C129*C130+D129*D130+E129*E130)/(SQRT(C129^2+D129^2+E129^2)*SQRT(C130^2+D130^2+E130^2)))</f>
        <v>1.0471975511965976</v>
      </c>
      <c r="K129">
        <f t="shared" si="26"/>
        <v>59.999999999999993</v>
      </c>
      <c r="L129" t="s">
        <v>81</v>
      </c>
    </row>
    <row r="130" spans="1:12" ht="15" customHeight="1" x14ac:dyDescent="0.25">
      <c r="B130" s="7" t="str">
        <f t="shared" si="23"/>
        <v>P3*</v>
      </c>
      <c r="C130">
        <f t="shared" si="27"/>
        <v>-0.50248469649381877</v>
      </c>
      <c r="D130">
        <f t="shared" si="24"/>
        <v>0.70711171565095954</v>
      </c>
      <c r="E130">
        <f t="shared" si="25"/>
        <v>-0.49749588076553053</v>
      </c>
      <c r="G130" s="6" t="s">
        <v>68</v>
      </c>
      <c r="H130">
        <f>SQRT(POWER(C130,2)+POWER(D130,2)+POWER(E130,2))</f>
        <v>0.99999999999999978</v>
      </c>
      <c r="J130">
        <f>ACOS((C130*C131+D130*D131+E130*E131)/(SQRT(C130^2+D130^2+E130^2)*SQRT(C131^2+D131^2+E131^2)))</f>
        <v>1.5707963267948963</v>
      </c>
      <c r="K130">
        <f t="shared" si="26"/>
        <v>89.999999999999986</v>
      </c>
      <c r="L130" t="s">
        <v>89</v>
      </c>
    </row>
    <row r="131" spans="1:12" ht="15" customHeight="1" x14ac:dyDescent="0.25">
      <c r="B131" s="7" t="str">
        <f t="shared" si="23"/>
        <v>P4*</v>
      </c>
      <c r="C131">
        <f t="shared" si="27"/>
        <v>-0.50248662537217914</v>
      </c>
      <c r="D131">
        <f t="shared" si="24"/>
        <v>-0.70710184666923792</v>
      </c>
      <c r="E131">
        <f t="shared" si="25"/>
        <v>-0.4975079594931453</v>
      </c>
      <c r="G131" s="6" t="s">
        <v>69</v>
      </c>
      <c r="H131">
        <f>SQRT(POWER(C131,2)+POWER(D131,2)+POWER(E131,2))</f>
        <v>1</v>
      </c>
      <c r="J131">
        <f>ACOS((C131*C132+D131*D132+E131*E132)/(SQRT(C131^2+D131^2+E131^2)*SQRT(C132^2+D132^2+E132^2)))</f>
        <v>1.0471975511965974</v>
      </c>
      <c r="K131">
        <f t="shared" si="26"/>
        <v>59.999999999999986</v>
      </c>
      <c r="L131" t="s">
        <v>90</v>
      </c>
    </row>
    <row r="132" spans="1:12" ht="15" customHeight="1" x14ac:dyDescent="0.25">
      <c r="B132" s="7" t="str">
        <f t="shared" si="23"/>
        <v>P5*</v>
      </c>
      <c r="C132">
        <f t="shared" si="27"/>
        <v>0.49750095571369407</v>
      </c>
      <c r="D132">
        <f t="shared" si="24"/>
        <v>-0.70710316800938611</v>
      </c>
      <c r="E132">
        <f t="shared" si="25"/>
        <v>-0.50249170028474188</v>
      </c>
      <c r="G132" s="6" t="s">
        <v>70</v>
      </c>
      <c r="H132">
        <f>SQRT(POWER(C132,2)+POWER(D132,2)+POWER(E132,2))</f>
        <v>1</v>
      </c>
      <c r="J132">
        <f>ACOS((C132*C133+D132*D133+E132*E133)/(SQRT(C132^2+D132^2+E132^2)*SQRT(C133^2+D133^2+E133^2)))</f>
        <v>1.0471975511965983</v>
      </c>
      <c r="K132">
        <f t="shared" si="26"/>
        <v>60.000000000000036</v>
      </c>
      <c r="L132" t="s">
        <v>91</v>
      </c>
    </row>
    <row r="133" spans="1:12" ht="15" customHeight="1" x14ac:dyDescent="0.25">
      <c r="B133" s="7" t="str">
        <f t="shared" si="23"/>
        <v>P6*</v>
      </c>
      <c r="C133">
        <f t="shared" si="27"/>
        <v>0.99998758108587338</v>
      </c>
      <c r="D133">
        <f t="shared" si="24"/>
        <v>-1.3213401478463956E-6</v>
      </c>
      <c r="E133">
        <f t="shared" si="25"/>
        <v>-4.9837407915963956E-3</v>
      </c>
      <c r="F133" s="7"/>
      <c r="G133" s="7" t="str">
        <f t="shared" ref="G133:H139" si="28">G94</f>
        <v>length of vector P6*</v>
      </c>
      <c r="H133" s="7">
        <f t="shared" si="28"/>
        <v>1</v>
      </c>
      <c r="J133">
        <f>ACOS((C133*C128+D133*D128+E133*E128)/(SQRT(C133^2+D133^2+E133^2)*SQRT(C128^2+D128^2+E128^2)))</f>
        <v>1.5707963267948968</v>
      </c>
      <c r="K133">
        <f t="shared" si="26"/>
        <v>90.000000000000014</v>
      </c>
      <c r="L133" t="s">
        <v>92</v>
      </c>
    </row>
    <row r="134" spans="1:12" ht="15" customHeight="1" x14ac:dyDescent="0.25">
      <c r="B134" s="7" t="str">
        <f t="shared" si="23"/>
        <v>P7*</v>
      </c>
      <c r="C134">
        <f t="shared" si="27"/>
        <v>0.50248662537217925</v>
      </c>
      <c r="D134">
        <f t="shared" si="24"/>
        <v>0.70710184666923792</v>
      </c>
      <c r="E134">
        <f t="shared" si="25"/>
        <v>0.4975079594931453</v>
      </c>
      <c r="F134" s="7"/>
      <c r="G134" s="7" t="str">
        <f t="shared" si="28"/>
        <v>length of vector P7*</v>
      </c>
      <c r="H134" s="7">
        <f t="shared" si="28"/>
        <v>1</v>
      </c>
    </row>
    <row r="135" spans="1:12" ht="15" customHeight="1" x14ac:dyDescent="0.25">
      <c r="B135" s="7" t="str">
        <f t="shared" si="23"/>
        <v>P8*</v>
      </c>
      <c r="C135">
        <f t="shared" si="27"/>
        <v>-0.49750095571369396</v>
      </c>
      <c r="D135">
        <f t="shared" si="24"/>
        <v>0.70710316800938611</v>
      </c>
      <c r="E135">
        <f t="shared" si="25"/>
        <v>0.50249170028474188</v>
      </c>
      <c r="F135" s="7"/>
      <c r="G135" s="7" t="str">
        <f t="shared" si="28"/>
        <v>length of vector P8*</v>
      </c>
      <c r="H135" s="7">
        <f t="shared" si="28"/>
        <v>1</v>
      </c>
    </row>
    <row r="136" spans="1:12" ht="15" customHeight="1" x14ac:dyDescent="0.25">
      <c r="B136" s="7" t="str">
        <f t="shared" si="23"/>
        <v>P9*</v>
      </c>
      <c r="C136">
        <f t="shared" si="27"/>
        <v>-0.99998758108587338</v>
      </c>
      <c r="D136">
        <f t="shared" si="24"/>
        <v>1.3213401479461422E-6</v>
      </c>
      <c r="E136">
        <f t="shared" si="25"/>
        <v>4.9837407915964659E-3</v>
      </c>
      <c r="F136" s="7"/>
      <c r="G136" s="7" t="str">
        <f t="shared" si="28"/>
        <v>length of vector P9*</v>
      </c>
      <c r="H136" s="7">
        <f t="shared" si="28"/>
        <v>1</v>
      </c>
    </row>
    <row r="137" spans="1:12" ht="15" customHeight="1" x14ac:dyDescent="0.25">
      <c r="B137" s="7" t="str">
        <f t="shared" si="23"/>
        <v>P10*</v>
      </c>
      <c r="C137">
        <f t="shared" si="27"/>
        <v>-0.49750288459205444</v>
      </c>
      <c r="D137">
        <f t="shared" si="24"/>
        <v>-0.70711039431081191</v>
      </c>
      <c r="E137">
        <f t="shared" si="25"/>
        <v>0.50247962155712655</v>
      </c>
      <c r="F137" s="7"/>
      <c r="G137" s="7" t="str">
        <f t="shared" si="28"/>
        <v>length of vector P10*</v>
      </c>
      <c r="H137" s="7">
        <f t="shared" si="28"/>
        <v>1</v>
      </c>
    </row>
    <row r="138" spans="1:12" ht="15" customHeight="1" x14ac:dyDescent="0.25">
      <c r="B138" s="7" t="str">
        <f t="shared" si="23"/>
        <v>P11*</v>
      </c>
      <c r="C138">
        <f t="shared" si="27"/>
        <v>0.50248469649381877</v>
      </c>
      <c r="D138">
        <f t="shared" si="24"/>
        <v>-0.70711171565095954</v>
      </c>
      <c r="E138">
        <f t="shared" si="25"/>
        <v>0.49749588076553064</v>
      </c>
      <c r="F138" s="7"/>
      <c r="G138" s="7" t="str">
        <f t="shared" si="28"/>
        <v>length of vector P11*</v>
      </c>
      <c r="H138" s="7">
        <f t="shared" si="28"/>
        <v>0.99999999999999989</v>
      </c>
    </row>
    <row r="139" spans="1:12" ht="15" customHeight="1" x14ac:dyDescent="0.25">
      <c r="B139" s="7" t="str">
        <f t="shared" si="23"/>
        <v>P12*</v>
      </c>
      <c r="C139">
        <f t="shared" si="27"/>
        <v>4.9837407801246892E-3</v>
      </c>
      <c r="D139">
        <f t="shared" si="24"/>
        <v>-8.5476415736462074E-6</v>
      </c>
      <c r="E139">
        <f t="shared" si="25"/>
        <v>0.99998758105027186</v>
      </c>
      <c r="F139" s="7"/>
      <c r="G139" s="7" t="str">
        <f t="shared" si="28"/>
        <v>length of vector P12*</v>
      </c>
      <c r="H139" s="7">
        <f t="shared" si="28"/>
        <v>0.99999999999999978</v>
      </c>
    </row>
    <row r="140" spans="1:12" ht="15" customHeight="1" x14ac:dyDescent="0.25">
      <c r="B140" s="7"/>
      <c r="C140" s="7"/>
      <c r="D140" s="7"/>
      <c r="E140" s="7"/>
      <c r="G140" s="6"/>
    </row>
    <row r="141" spans="1:12" x14ac:dyDescent="0.25">
      <c r="A141" s="12" t="s">
        <v>72</v>
      </c>
      <c r="B141" t="str">
        <f>B110</f>
        <v>P1*-P1</v>
      </c>
      <c r="C141">
        <f t="shared" ref="C141:E152" si="29">C128-C75</f>
        <v>-1.5215568069988198E-2</v>
      </c>
      <c r="D141">
        <f t="shared" si="29"/>
        <v>8.547641573535053E-6</v>
      </c>
      <c r="E141">
        <f t="shared" si="29"/>
        <v>-6.7958957659524866E-2</v>
      </c>
      <c r="G141" s="6" t="s">
        <v>78</v>
      </c>
      <c r="H141">
        <f t="shared" ref="H141:H152" si="30">SQRT(POWER(C141,2)+POWER(D141,2)+POWER(E141,2))</f>
        <v>6.9641464020536739E-2</v>
      </c>
    </row>
    <row r="142" spans="1:12" x14ac:dyDescent="0.25">
      <c r="B142" s="7" t="s">
        <v>73</v>
      </c>
      <c r="C142">
        <f t="shared" si="29"/>
        <v>-5.1494445902359853E-2</v>
      </c>
      <c r="D142">
        <f t="shared" si="29"/>
        <v>-4.9864388806703741E-2</v>
      </c>
      <c r="E142">
        <f t="shared" si="29"/>
        <v>6.0009928718727901E-2</v>
      </c>
      <c r="G142" s="6" t="s">
        <v>78</v>
      </c>
      <c r="H142">
        <f t="shared" si="30"/>
        <v>9.3484366472068425E-2</v>
      </c>
    </row>
    <row r="143" spans="1:12" x14ac:dyDescent="0.25">
      <c r="B143" s="7" t="s">
        <v>74</v>
      </c>
      <c r="C143">
        <f t="shared" si="29"/>
        <v>-5.4875472780777312E-2</v>
      </c>
      <c r="D143">
        <f t="shared" si="29"/>
        <v>-4.986306746655611E-2</v>
      </c>
      <c r="E143">
        <f t="shared" si="29"/>
        <v>-6.2309747685843297E-2</v>
      </c>
      <c r="G143" s="6" t="s">
        <v>78</v>
      </c>
      <c r="H143">
        <f t="shared" si="30"/>
        <v>9.6851162444038907E-2</v>
      </c>
    </row>
    <row r="144" spans="1:12" x14ac:dyDescent="0.25">
      <c r="B144" s="7" t="s">
        <v>75</v>
      </c>
      <c r="C144">
        <f t="shared" si="29"/>
        <v>-5.4877401659137348E-2</v>
      </c>
      <c r="D144">
        <f t="shared" si="29"/>
        <v>4.987293644827806E-2</v>
      </c>
      <c r="E144">
        <f t="shared" si="29"/>
        <v>-6.232182641345807E-2</v>
      </c>
      <c r="G144" s="6" t="s">
        <v>78</v>
      </c>
      <c r="H144">
        <f t="shared" si="30"/>
        <v>9.6865107496670197E-2</v>
      </c>
    </row>
    <row r="145" spans="1:8" x14ac:dyDescent="0.25">
      <c r="B145" s="7" t="s">
        <v>76</v>
      </c>
      <c r="C145">
        <f t="shared" si="29"/>
        <v>-5.1496374780719945E-2</v>
      </c>
      <c r="D145">
        <f t="shared" si="29"/>
        <v>4.9871615108129874E-2</v>
      </c>
      <c r="E145">
        <f t="shared" si="29"/>
        <v>5.9997849991112462E-2</v>
      </c>
      <c r="G145" s="6" t="s">
        <v>78</v>
      </c>
      <c r="H145">
        <f t="shared" si="30"/>
        <v>9.348153086361953E-2</v>
      </c>
    </row>
    <row r="146" spans="1:8" x14ac:dyDescent="0.25">
      <c r="B146" t="str">
        <f>B115</f>
        <v>P6*-P6</v>
      </c>
      <c r="C146">
        <f t="shared" si="29"/>
        <v>-6.85080041144559E-3</v>
      </c>
      <c r="D146">
        <f t="shared" si="29"/>
        <v>-1.3213401478463956E-6</v>
      </c>
      <c r="E146">
        <f t="shared" si="29"/>
        <v>6.0663319173198234E-2</v>
      </c>
      <c r="G146" s="6" t="s">
        <v>78</v>
      </c>
      <c r="H146">
        <f t="shared" si="30"/>
        <v>6.1048929238216157E-2</v>
      </c>
    </row>
    <row r="147" spans="1:8" x14ac:dyDescent="0.25">
      <c r="B147" t="str">
        <f t="shared" ref="B147:B152" si="31">B116</f>
        <v>P6*-P7</v>
      </c>
      <c r="C147">
        <f t="shared" si="29"/>
        <v>6.5109228949000009E-2</v>
      </c>
      <c r="D147">
        <f t="shared" si="29"/>
        <v>5.0227576522809736E-2</v>
      </c>
      <c r="E147">
        <f t="shared" si="29"/>
        <v>6.232182641345807E-2</v>
      </c>
      <c r="G147" s="6" t="s">
        <v>78</v>
      </c>
      <c r="H147">
        <f t="shared" si="30"/>
        <v>0.10317960644040666</v>
      </c>
    </row>
    <row r="148" spans="1:8" x14ac:dyDescent="0.25">
      <c r="B148" t="str">
        <f t="shared" si="31"/>
        <v>P6*-P8</v>
      </c>
      <c r="C148">
        <f t="shared" si="29"/>
        <v>6.1728202070582772E-2</v>
      </c>
      <c r="D148">
        <f t="shared" si="29"/>
        <v>5.0228897862957922E-2</v>
      </c>
      <c r="E148">
        <f t="shared" si="29"/>
        <v>-5.9997849991112462E-2</v>
      </c>
      <c r="G148" s="6" t="s">
        <v>78</v>
      </c>
      <c r="H148">
        <f t="shared" si="30"/>
        <v>9.9664713489530446E-2</v>
      </c>
    </row>
    <row r="149" spans="1:8" x14ac:dyDescent="0.25">
      <c r="B149" t="str">
        <f t="shared" si="31"/>
        <v>P6*-P9</v>
      </c>
      <c r="C149">
        <f t="shared" si="29"/>
        <v>-1.3612854168281285E-2</v>
      </c>
      <c r="D149">
        <f t="shared" si="29"/>
        <v>1.3213401479461422E-6</v>
      </c>
      <c r="E149">
        <f t="shared" si="29"/>
        <v>7.0630800756391096E-2</v>
      </c>
      <c r="G149" s="6" t="s">
        <v>78</v>
      </c>
      <c r="H149">
        <f t="shared" si="30"/>
        <v>7.1930659776216779E-2</v>
      </c>
    </row>
    <row r="150" spans="1:8" x14ac:dyDescent="0.25">
      <c r="B150" t="str">
        <f t="shared" si="31"/>
        <v>P6*-P10</v>
      </c>
      <c r="C150">
        <f t="shared" si="29"/>
        <v>6.1726273192222292E-2</v>
      </c>
      <c r="D150">
        <f t="shared" si="29"/>
        <v>-5.0236124164383167E-2</v>
      </c>
      <c r="E150">
        <f t="shared" si="29"/>
        <v>-6.000992871872779E-2</v>
      </c>
      <c r="G150" s="6" t="s">
        <v>78</v>
      </c>
      <c r="H150">
        <f t="shared" si="30"/>
        <v>9.9674432619839742E-2</v>
      </c>
    </row>
    <row r="151" spans="1:8" x14ac:dyDescent="0.25">
      <c r="B151" t="str">
        <f t="shared" si="31"/>
        <v>P6*-P11</v>
      </c>
      <c r="C151">
        <f t="shared" si="29"/>
        <v>6.5107300070639862E-2</v>
      </c>
      <c r="D151">
        <f t="shared" si="29"/>
        <v>-5.0237445504530798E-2</v>
      </c>
      <c r="E151">
        <f t="shared" si="29"/>
        <v>6.2309747685843409E-2</v>
      </c>
      <c r="G151" s="6" t="s">
        <v>78</v>
      </c>
      <c r="H151">
        <f t="shared" si="30"/>
        <v>0.10317589888138853</v>
      </c>
    </row>
    <row r="152" spans="1:8" x14ac:dyDescent="0.25">
      <c r="B152" t="str">
        <f t="shared" si="31"/>
        <v>P6*-P12</v>
      </c>
      <c r="C152">
        <f t="shared" si="29"/>
        <v>-5.2480865097388751E-3</v>
      </c>
      <c r="D152">
        <f t="shared" si="29"/>
        <v>-8.5476415736462074E-6</v>
      </c>
      <c r="E152">
        <f t="shared" si="29"/>
        <v>-6.3335162270064638E-2</v>
      </c>
      <c r="G152" s="6" t="s">
        <v>78</v>
      </c>
      <c r="H152">
        <f t="shared" si="30"/>
        <v>6.3552224704185603E-2</v>
      </c>
    </row>
    <row r="153" spans="1:8" x14ac:dyDescent="0.25">
      <c r="B153" s="7"/>
      <c r="G153" s="6"/>
    </row>
    <row r="154" spans="1:8" x14ac:dyDescent="0.25">
      <c r="A154" s="19" t="s">
        <v>225</v>
      </c>
      <c r="B154" s="7" t="s">
        <v>204</v>
      </c>
      <c r="C154">
        <v>0</v>
      </c>
      <c r="D154">
        <v>0</v>
      </c>
      <c r="E154">
        <v>0</v>
      </c>
    </row>
    <row r="155" spans="1:8" x14ac:dyDescent="0.25">
      <c r="B155" t="str">
        <f t="shared" ref="B155:B160" si="32">B128</f>
        <v>P1*</v>
      </c>
      <c r="C155">
        <f>C128*$K$62</f>
        <v>-1.678138402696161</v>
      </c>
      <c r="D155">
        <f t="shared" ref="C155:E160" si="33">D128*$K$62</f>
        <v>2.8781845224046133E-3</v>
      </c>
      <c r="E155">
        <f t="shared" si="33"/>
        <v>-336.71846831843737</v>
      </c>
    </row>
    <row r="156" spans="1:8" x14ac:dyDescent="0.25">
      <c r="B156" t="str">
        <f t="shared" si="32"/>
        <v>P2*</v>
      </c>
      <c r="C156">
        <f t="shared" si="33"/>
        <v>167.52048971238108</v>
      </c>
      <c r="D156">
        <f t="shared" si="33"/>
        <v>238.10008585737941</v>
      </c>
      <c r="E156">
        <f t="shared" si="33"/>
        <v>-169.19626977191217</v>
      </c>
    </row>
    <row r="157" spans="1:8" x14ac:dyDescent="0.25">
      <c r="B157" t="str">
        <f t="shared" si="32"/>
        <v>P3*</v>
      </c>
      <c r="C157">
        <f t="shared" si="33"/>
        <v>-169.19797861804412</v>
      </c>
      <c r="D157">
        <f t="shared" si="33"/>
        <v>238.10053078253557</v>
      </c>
      <c r="E157">
        <f t="shared" si="33"/>
        <v>-167.51813136535338</v>
      </c>
    </row>
    <row r="158" spans="1:8" x14ac:dyDescent="0.25">
      <c r="B158" t="str">
        <f t="shared" si="32"/>
        <v>P4*</v>
      </c>
      <c r="C158">
        <f t="shared" si="33"/>
        <v>-169.19862811507724</v>
      </c>
      <c r="D158">
        <f t="shared" si="33"/>
        <v>-238.09720767285685</v>
      </c>
      <c r="E158">
        <f t="shared" si="33"/>
        <v>-167.52219854652517</v>
      </c>
    </row>
    <row r="159" spans="1:8" x14ac:dyDescent="0.25">
      <c r="B159" t="str">
        <f t="shared" si="32"/>
        <v>P5*</v>
      </c>
      <c r="C159">
        <f t="shared" si="33"/>
        <v>167.51984021534793</v>
      </c>
      <c r="D159">
        <f t="shared" si="33"/>
        <v>-238.09765259801318</v>
      </c>
      <c r="E159">
        <f t="shared" si="33"/>
        <v>-169.20033695308419</v>
      </c>
    </row>
    <row r="160" spans="1:8" x14ac:dyDescent="0.25">
      <c r="B160" t="str">
        <f t="shared" si="32"/>
        <v>P6*</v>
      </c>
      <c r="C160">
        <f t="shared" si="33"/>
        <v>336.71846833042525</v>
      </c>
      <c r="D160">
        <f t="shared" si="33"/>
        <v>-4.4492515621364373E-4</v>
      </c>
      <c r="E160">
        <f t="shared" si="33"/>
        <v>-1.6781384065589628</v>
      </c>
    </row>
    <row r="161" spans="1:5" x14ac:dyDescent="0.25">
      <c r="B161" t="str">
        <f t="shared" ref="B161:B166" si="34">B134</f>
        <v>P7*</v>
      </c>
      <c r="C161">
        <f t="shared" ref="C161:E166" si="35">C134*$K$62</f>
        <v>169.1986281150773</v>
      </c>
      <c r="D161">
        <f t="shared" si="35"/>
        <v>238.09720767285685</v>
      </c>
      <c r="E161">
        <f t="shared" si="35"/>
        <v>167.52219854652517</v>
      </c>
    </row>
    <row r="162" spans="1:5" x14ac:dyDescent="0.25">
      <c r="B162" t="str">
        <f t="shared" si="34"/>
        <v>P8*</v>
      </c>
      <c r="C162">
        <f t="shared" si="35"/>
        <v>-167.5198402153479</v>
      </c>
      <c r="D162">
        <f t="shared" si="35"/>
        <v>238.09765259801318</v>
      </c>
      <c r="E162">
        <f t="shared" si="35"/>
        <v>169.20033695308419</v>
      </c>
    </row>
    <row r="163" spans="1:5" x14ac:dyDescent="0.25">
      <c r="B163" t="str">
        <f t="shared" si="34"/>
        <v>P9*</v>
      </c>
      <c r="C163">
        <f t="shared" si="35"/>
        <v>-336.71846833042525</v>
      </c>
      <c r="D163">
        <f t="shared" si="35"/>
        <v>4.4492515624723069E-4</v>
      </c>
      <c r="E163">
        <f t="shared" si="35"/>
        <v>1.6781384065589866</v>
      </c>
    </row>
    <row r="164" spans="1:5" x14ac:dyDescent="0.25">
      <c r="B164" t="str">
        <f t="shared" si="34"/>
        <v>P10*</v>
      </c>
      <c r="C164">
        <f t="shared" si="35"/>
        <v>-167.52048971238108</v>
      </c>
      <c r="D164">
        <f t="shared" si="35"/>
        <v>-238.10008585737941</v>
      </c>
      <c r="E164">
        <f t="shared" si="35"/>
        <v>169.19626977191223</v>
      </c>
    </row>
    <row r="165" spans="1:5" x14ac:dyDescent="0.25">
      <c r="B165" t="str">
        <f t="shared" si="34"/>
        <v>P11*</v>
      </c>
      <c r="C165">
        <f t="shared" si="35"/>
        <v>169.19797861804412</v>
      </c>
      <c r="D165">
        <f t="shared" si="35"/>
        <v>-238.10053078253557</v>
      </c>
      <c r="E165">
        <f t="shared" si="35"/>
        <v>167.51813136535341</v>
      </c>
    </row>
    <row r="166" spans="1:5" x14ac:dyDescent="0.25">
      <c r="B166" t="str">
        <f t="shared" si="34"/>
        <v>P12*</v>
      </c>
      <c r="C166">
        <f t="shared" si="35"/>
        <v>1.6781384026961796</v>
      </c>
      <c r="D166">
        <f t="shared" si="35"/>
        <v>-2.8781845224420412E-3</v>
      </c>
      <c r="E166">
        <f t="shared" si="35"/>
        <v>336.71846831843737</v>
      </c>
    </row>
    <row r="168" spans="1:5" x14ac:dyDescent="0.25">
      <c r="A168" s="19" t="s">
        <v>226</v>
      </c>
      <c r="B168" t="s">
        <v>204</v>
      </c>
      <c r="C168">
        <f>C154+$C$58</f>
        <v>672.88264399999991</v>
      </c>
      <c r="D168">
        <f>D154+$D$58</f>
        <v>714.11250000000007</v>
      </c>
      <c r="E168">
        <f>E154+$E$58</f>
        <v>0</v>
      </c>
    </row>
    <row r="169" spans="1:5" x14ac:dyDescent="0.25">
      <c r="B169" t="str">
        <f t="shared" ref="B169:B180" si="36">B155</f>
        <v>P1*</v>
      </c>
      <c r="C169">
        <f t="shared" ref="C169:C180" si="37">C155+$C$58</f>
        <v>671.20450559730375</v>
      </c>
      <c r="D169">
        <f t="shared" ref="D169:D180" si="38">D155+$D$58</f>
        <v>714.11537818452246</v>
      </c>
      <c r="E169">
        <f t="shared" ref="E169:E180" si="39">E155+$E$58</f>
        <v>-336.71846831843737</v>
      </c>
    </row>
    <row r="170" spans="1:5" x14ac:dyDescent="0.25">
      <c r="B170" t="str">
        <f t="shared" si="36"/>
        <v>P2*</v>
      </c>
      <c r="C170">
        <f t="shared" si="37"/>
        <v>840.40313371238096</v>
      </c>
      <c r="D170">
        <f t="shared" si="38"/>
        <v>952.21258585737951</v>
      </c>
      <c r="E170">
        <f t="shared" si="39"/>
        <v>-169.19626977191217</v>
      </c>
    </row>
    <row r="171" spans="1:5" x14ac:dyDescent="0.25">
      <c r="B171" t="str">
        <f t="shared" si="36"/>
        <v>P3*</v>
      </c>
      <c r="C171">
        <f t="shared" si="37"/>
        <v>503.68466538195582</v>
      </c>
      <c r="D171">
        <f t="shared" si="38"/>
        <v>952.21303078253561</v>
      </c>
      <c r="E171">
        <f t="shared" si="39"/>
        <v>-167.51813136535338</v>
      </c>
    </row>
    <row r="172" spans="1:5" x14ac:dyDescent="0.25">
      <c r="B172" t="str">
        <f t="shared" si="36"/>
        <v>P4*</v>
      </c>
      <c r="C172">
        <f t="shared" si="37"/>
        <v>503.6840158849227</v>
      </c>
      <c r="D172">
        <f t="shared" si="38"/>
        <v>476.01529232714324</v>
      </c>
      <c r="E172">
        <f t="shared" si="39"/>
        <v>-167.52219854652517</v>
      </c>
    </row>
    <row r="173" spans="1:5" x14ac:dyDescent="0.25">
      <c r="B173" t="str">
        <f t="shared" si="36"/>
        <v>P5*</v>
      </c>
      <c r="C173">
        <f t="shared" si="37"/>
        <v>840.40248421534784</v>
      </c>
      <c r="D173">
        <f t="shared" si="38"/>
        <v>476.01484740198691</v>
      </c>
      <c r="E173">
        <f t="shared" si="39"/>
        <v>-169.20033695308419</v>
      </c>
    </row>
    <row r="174" spans="1:5" x14ac:dyDescent="0.25">
      <c r="B174" t="str">
        <f t="shared" si="36"/>
        <v>P6*</v>
      </c>
      <c r="C174">
        <f t="shared" si="37"/>
        <v>1009.6011123304252</v>
      </c>
      <c r="D174">
        <f t="shared" si="38"/>
        <v>714.11205507484385</v>
      </c>
      <c r="E174">
        <f t="shared" si="39"/>
        <v>-1.6781384065589628</v>
      </c>
    </row>
    <row r="175" spans="1:5" x14ac:dyDescent="0.25">
      <c r="B175" t="str">
        <f t="shared" si="36"/>
        <v>P7*</v>
      </c>
      <c r="C175">
        <f t="shared" si="37"/>
        <v>842.08127211507724</v>
      </c>
      <c r="D175">
        <f t="shared" si="38"/>
        <v>952.20970767285689</v>
      </c>
      <c r="E175">
        <f t="shared" si="39"/>
        <v>167.52219854652517</v>
      </c>
    </row>
    <row r="176" spans="1:5" x14ac:dyDescent="0.25">
      <c r="B176" t="str">
        <f t="shared" si="36"/>
        <v>P8*</v>
      </c>
      <c r="C176">
        <f t="shared" si="37"/>
        <v>505.36280378465199</v>
      </c>
      <c r="D176">
        <f t="shared" si="38"/>
        <v>952.21015259801322</v>
      </c>
      <c r="E176">
        <f t="shared" si="39"/>
        <v>169.20033695308419</v>
      </c>
    </row>
    <row r="177" spans="2:5" x14ac:dyDescent="0.25">
      <c r="B177" t="str">
        <f t="shared" si="36"/>
        <v>P9*</v>
      </c>
      <c r="C177">
        <f t="shared" si="37"/>
        <v>336.16417566957466</v>
      </c>
      <c r="D177">
        <f t="shared" si="38"/>
        <v>714.11294492515628</v>
      </c>
      <c r="E177">
        <f t="shared" si="39"/>
        <v>1.6781384065589866</v>
      </c>
    </row>
    <row r="178" spans="2:5" x14ac:dyDescent="0.25">
      <c r="B178" t="str">
        <f t="shared" si="36"/>
        <v>P10*</v>
      </c>
      <c r="C178">
        <f t="shared" si="37"/>
        <v>505.36215428761886</v>
      </c>
      <c r="D178">
        <f t="shared" si="38"/>
        <v>476.01241414262063</v>
      </c>
      <c r="E178">
        <f t="shared" si="39"/>
        <v>169.19626977191223</v>
      </c>
    </row>
    <row r="179" spans="2:5" x14ac:dyDescent="0.25">
      <c r="B179" t="str">
        <f t="shared" si="36"/>
        <v>P11*</v>
      </c>
      <c r="C179">
        <f t="shared" si="37"/>
        <v>842.080622618044</v>
      </c>
      <c r="D179">
        <f t="shared" si="38"/>
        <v>476.01196921746453</v>
      </c>
      <c r="E179">
        <f t="shared" si="39"/>
        <v>167.51813136535341</v>
      </c>
    </row>
    <row r="180" spans="2:5" x14ac:dyDescent="0.25">
      <c r="B180" t="str">
        <f t="shared" si="36"/>
        <v>P12*</v>
      </c>
      <c r="C180">
        <f t="shared" si="37"/>
        <v>674.56078240269608</v>
      </c>
      <c r="D180">
        <f t="shared" si="38"/>
        <v>714.10962181547768</v>
      </c>
      <c r="E180">
        <f t="shared" si="39"/>
        <v>336.71846831843737</v>
      </c>
    </row>
  </sheetData>
  <mergeCells count="19">
    <mergeCell ref="A124:A125"/>
    <mergeCell ref="A102:A103"/>
    <mergeCell ref="A106:A107"/>
    <mergeCell ref="D29:F29"/>
    <mergeCell ref="H25:J26"/>
    <mergeCell ref="A44:A45"/>
    <mergeCell ref="G48:H48"/>
    <mergeCell ref="G44:H44"/>
    <mergeCell ref="A41:C42"/>
    <mergeCell ref="H33:J37"/>
    <mergeCell ref="B2:D2"/>
    <mergeCell ref="E36:F36"/>
    <mergeCell ref="E37:F37"/>
    <mergeCell ref="E38:F38"/>
    <mergeCell ref="F3:G5"/>
    <mergeCell ref="E8:H8"/>
    <mergeCell ref="B8:D8"/>
    <mergeCell ref="E33:F34"/>
    <mergeCell ref="D25:F25"/>
  </mergeCells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9"/>
  <sheetViews>
    <sheetView zoomScaleNormal="100" workbookViewId="0">
      <selection activeCell="L25" sqref="L25"/>
    </sheetView>
  </sheetViews>
  <sheetFormatPr baseColWidth="10" defaultRowHeight="15" x14ac:dyDescent="0.25"/>
  <cols>
    <col min="1" max="1" width="26.7109375" customWidth="1"/>
    <col min="2" max="14" width="13.7109375" customWidth="1"/>
  </cols>
  <sheetData>
    <row r="1" spans="1:8" x14ac:dyDescent="0.25">
      <c r="A1" t="s">
        <v>0</v>
      </c>
    </row>
    <row r="2" spans="1:8" x14ac:dyDescent="0.25">
      <c r="A2" s="29"/>
      <c r="B2" s="69" t="s">
        <v>134</v>
      </c>
      <c r="C2" s="70"/>
      <c r="D2" s="70"/>
    </row>
    <row r="3" spans="1:8" ht="15" customHeight="1" x14ac:dyDescent="0.25">
      <c r="A3" t="s">
        <v>1</v>
      </c>
      <c r="F3" s="75" t="s">
        <v>315</v>
      </c>
      <c r="G3" s="76"/>
    </row>
    <row r="4" spans="1:8" x14ac:dyDescent="0.25">
      <c r="A4" t="s">
        <v>2</v>
      </c>
      <c r="B4" s="1">
        <v>1</v>
      </c>
      <c r="C4" s="43" t="s">
        <v>51</v>
      </c>
      <c r="D4" s="1">
        <v>90</v>
      </c>
      <c r="F4" s="76"/>
      <c r="G4" s="76"/>
    </row>
    <row r="5" spans="1:8" x14ac:dyDescent="0.25">
      <c r="A5" t="s">
        <v>3</v>
      </c>
      <c r="B5" s="1">
        <v>1</v>
      </c>
      <c r="C5" s="43" t="s">
        <v>52</v>
      </c>
      <c r="D5" s="1">
        <v>90</v>
      </c>
      <c r="F5" s="76"/>
      <c r="G5" s="76"/>
    </row>
    <row r="6" spans="1:8" x14ac:dyDescent="0.25">
      <c r="A6" t="s">
        <v>4</v>
      </c>
      <c r="B6" s="1">
        <v>1</v>
      </c>
      <c r="C6" s="43" t="s">
        <v>53</v>
      </c>
      <c r="D6" s="1">
        <v>90</v>
      </c>
    </row>
    <row r="8" spans="1:8" x14ac:dyDescent="0.25">
      <c r="B8" s="65" t="s">
        <v>285</v>
      </c>
      <c r="C8" s="65"/>
      <c r="D8" s="65"/>
      <c r="E8" s="77" t="s">
        <v>240</v>
      </c>
      <c r="F8" s="77"/>
      <c r="G8" s="77"/>
      <c r="H8" s="77"/>
    </row>
    <row r="9" spans="1:8" x14ac:dyDescent="0.25">
      <c r="A9" t="s">
        <v>5</v>
      </c>
      <c r="B9" s="47" t="s">
        <v>6</v>
      </c>
      <c r="C9" s="47" t="s">
        <v>7</v>
      </c>
      <c r="D9" s="47" t="s">
        <v>8</v>
      </c>
      <c r="E9" s="48"/>
      <c r="F9" s="48" t="s">
        <v>6</v>
      </c>
      <c r="G9" s="48" t="s">
        <v>7</v>
      </c>
      <c r="H9" s="48" t="s">
        <v>8</v>
      </c>
    </row>
    <row r="10" spans="1:8" x14ac:dyDescent="0.25">
      <c r="A10" t="s">
        <v>96</v>
      </c>
      <c r="B10" s="1">
        <v>0</v>
      </c>
      <c r="C10" s="1">
        <v>0</v>
      </c>
      <c r="D10" s="1">
        <v>0</v>
      </c>
      <c r="E10" s="14" t="s">
        <v>82</v>
      </c>
      <c r="F10" s="12">
        <f t="shared" ref="F10:F18" si="0">C151*$G$44+D151*$H$44+E151*$I$44</f>
        <v>-2.293956722854847E-34</v>
      </c>
      <c r="G10" s="12">
        <f t="shared" ref="G10:G18" si="1">C151*$G$45+D151*$H$45+E151*$I$45</f>
        <v>3.7447816444839679E-18</v>
      </c>
      <c r="H10" s="12">
        <f t="shared" ref="H10:H18" si="2">C151*$G$46+D151*$H$46+E151*$I$46</f>
        <v>0</v>
      </c>
    </row>
    <row r="11" spans="1:8" x14ac:dyDescent="0.25">
      <c r="A11" t="s">
        <v>9</v>
      </c>
      <c r="B11" s="1">
        <v>0</v>
      </c>
      <c r="C11" s="1">
        <v>1</v>
      </c>
      <c r="D11" s="1">
        <f>C71</f>
        <v>1.567861845636386</v>
      </c>
      <c r="E11" s="15" t="s">
        <v>58</v>
      </c>
      <c r="F11" s="28">
        <f t="shared" si="0"/>
        <v>7.0518385027664158E-6</v>
      </c>
      <c r="G11" s="28">
        <f t="shared" si="1"/>
        <v>1.0000010588663646</v>
      </c>
      <c r="H11" s="28">
        <f t="shared" si="2"/>
        <v>1.5678611702630938</v>
      </c>
    </row>
    <row r="12" spans="1:8" x14ac:dyDescent="0.25">
      <c r="A12" t="s">
        <v>10</v>
      </c>
      <c r="B12" s="1">
        <v>0</v>
      </c>
      <c r="C12" s="1">
        <v>-1</v>
      </c>
      <c r="D12" s="1">
        <f>C71</f>
        <v>1.567861845636386</v>
      </c>
      <c r="E12" s="15" t="s">
        <v>59</v>
      </c>
      <c r="F12" s="28">
        <f t="shared" si="0"/>
        <v>-7.0973689663337719E-6</v>
      </c>
      <c r="G12" s="28">
        <f t="shared" si="1"/>
        <v>-0.99999894108312959</v>
      </c>
      <c r="H12" s="28">
        <f t="shared" si="2"/>
        <v>1.5678625210089638</v>
      </c>
    </row>
    <row r="13" spans="1:8" x14ac:dyDescent="0.25">
      <c r="A13" t="s">
        <v>11</v>
      </c>
      <c r="B13" s="22">
        <f>C73</f>
        <v>1.2891685509362201</v>
      </c>
      <c r="C13" s="23">
        <v>0</v>
      </c>
      <c r="D13" s="23">
        <f>C72</f>
        <v>0.41112313387948862</v>
      </c>
      <c r="E13" s="24" t="s">
        <v>60</v>
      </c>
      <c r="F13" s="27">
        <f t="shared" si="0"/>
        <v>1.2891685449344827</v>
      </c>
      <c r="G13" s="27">
        <f t="shared" si="1"/>
        <v>-8.8426951526605182E-6</v>
      </c>
      <c r="H13" s="27">
        <f t="shared" si="2"/>
        <v>0.41112315260418181</v>
      </c>
    </row>
    <row r="14" spans="1:8" x14ac:dyDescent="0.25">
      <c r="A14" t="s">
        <v>12</v>
      </c>
      <c r="B14" s="1">
        <f>-C73</f>
        <v>-1.2891685509362201</v>
      </c>
      <c r="C14" s="1">
        <v>0</v>
      </c>
      <c r="D14" s="1">
        <f>C72</f>
        <v>0.41112313387948862</v>
      </c>
      <c r="E14" s="15" t="s">
        <v>61</v>
      </c>
      <c r="F14" s="28">
        <f t="shared" si="0"/>
        <v>-1.2891685568734346</v>
      </c>
      <c r="G14" s="28">
        <f t="shared" si="1"/>
        <v>9.3980181121875281E-6</v>
      </c>
      <c r="H14" s="28">
        <f t="shared" si="2"/>
        <v>0.4111231151546082</v>
      </c>
    </row>
    <row r="15" spans="1:8" x14ac:dyDescent="0.25">
      <c r="A15" t="s">
        <v>13</v>
      </c>
      <c r="B15" s="1">
        <v>0</v>
      </c>
      <c r="C15" s="1">
        <f>C73</f>
        <v>1.2891685509362201</v>
      </c>
      <c r="D15" s="1">
        <f>-C72</f>
        <v>-0.41112313387948862</v>
      </c>
      <c r="E15" s="15" t="s">
        <v>62</v>
      </c>
      <c r="F15" s="28">
        <f t="shared" si="0"/>
        <v>9.1263261207747625E-6</v>
      </c>
      <c r="G15" s="28">
        <f t="shared" si="1"/>
        <v>1.289168273242185</v>
      </c>
      <c r="H15" s="28">
        <f t="shared" si="2"/>
        <v>-0.4111240045489431</v>
      </c>
    </row>
    <row r="16" spans="1:8" x14ac:dyDescent="0.25">
      <c r="A16" t="s">
        <v>98</v>
      </c>
      <c r="B16" s="23">
        <v>0</v>
      </c>
      <c r="C16" s="23">
        <f>-C73</f>
        <v>-1.2891685509362201</v>
      </c>
      <c r="D16" s="23">
        <f>-C72</f>
        <v>-0.41112313387948862</v>
      </c>
      <c r="E16" s="25" t="s">
        <v>99</v>
      </c>
      <c r="F16" s="27">
        <f t="shared" si="0"/>
        <v>-9.1143871690610676E-6</v>
      </c>
      <c r="G16" s="27">
        <f t="shared" si="1"/>
        <v>-1.2891688285651444</v>
      </c>
      <c r="H16" s="27">
        <f t="shared" si="2"/>
        <v>-0.41112226320984685</v>
      </c>
    </row>
    <row r="17" spans="1:12" x14ac:dyDescent="0.25">
      <c r="A17" t="s">
        <v>104</v>
      </c>
      <c r="B17" s="1">
        <v>1</v>
      </c>
      <c r="C17" s="1">
        <v>0</v>
      </c>
      <c r="D17" s="1">
        <f>-C71</f>
        <v>-1.567861845636386</v>
      </c>
      <c r="E17" s="16" t="s">
        <v>110</v>
      </c>
      <c r="F17" s="26">
        <f t="shared" si="0"/>
        <v>1.0000000227402071</v>
      </c>
      <c r="G17" s="26">
        <f t="shared" si="1"/>
        <v>-8.1334953420609343E-6</v>
      </c>
      <c r="H17" s="26">
        <f t="shared" si="2"/>
        <v>-1.5678618311113288</v>
      </c>
    </row>
    <row r="18" spans="1:12" x14ac:dyDescent="0.25">
      <c r="A18" t="s">
        <v>105</v>
      </c>
      <c r="B18" s="1">
        <v>-1</v>
      </c>
      <c r="C18" s="1">
        <v>0</v>
      </c>
      <c r="D18" s="1">
        <f>-C71</f>
        <v>-1.567861845636386</v>
      </c>
      <c r="E18" s="16" t="s">
        <v>111</v>
      </c>
      <c r="F18" s="26">
        <f t="shared" si="0"/>
        <v>-0.99999997720974299</v>
      </c>
      <c r="G18" s="26">
        <f t="shared" si="1"/>
        <v>6.0157121075441499E-6</v>
      </c>
      <c r="H18" s="26">
        <f t="shared" si="2"/>
        <v>-1.5678618601607288</v>
      </c>
    </row>
    <row r="19" spans="1:12" x14ac:dyDescent="0.25">
      <c r="G19" s="2"/>
    </row>
    <row r="20" spans="1:12" x14ac:dyDescent="0.25">
      <c r="K20" s="4"/>
    </row>
    <row r="21" spans="1:12" x14ac:dyDescent="0.25">
      <c r="A21" t="s">
        <v>57</v>
      </c>
      <c r="B21" t="s">
        <v>17</v>
      </c>
      <c r="D21" s="61" t="s">
        <v>18</v>
      </c>
      <c r="E21" s="61"/>
      <c r="F21" s="61"/>
      <c r="H21" s="61" t="s">
        <v>267</v>
      </c>
      <c r="I21" s="61"/>
      <c r="J21" s="61"/>
      <c r="K21" s="4"/>
    </row>
    <row r="22" spans="1:12" x14ac:dyDescent="0.25">
      <c r="A22" t="s">
        <v>19</v>
      </c>
      <c r="B22" s="13">
        <f>H132*100</f>
        <v>4.458975599832077E-4</v>
      </c>
      <c r="C22" t="s">
        <v>210</v>
      </c>
      <c r="D22" t="s">
        <v>20</v>
      </c>
      <c r="E22" s="3">
        <f>(AVERAGE(B22:B29))</f>
        <v>5.0651636402259683E-4</v>
      </c>
      <c r="F22" t="s">
        <v>210</v>
      </c>
      <c r="H22" s="61"/>
      <c r="I22" s="61"/>
      <c r="J22" s="61"/>
    </row>
    <row r="23" spans="1:12" x14ac:dyDescent="0.25">
      <c r="A23" t="s">
        <v>22</v>
      </c>
      <c r="B23" s="13">
        <f t="shared" ref="B23:B29" si="3">H133*100</f>
        <v>4.4868873788067825E-4</v>
      </c>
      <c r="C23" t="s">
        <v>210</v>
      </c>
      <c r="D23" t="s">
        <v>23</v>
      </c>
      <c r="E23">
        <f>E22*K53/100</f>
        <v>8.1365710147381802E-6</v>
      </c>
      <c r="F23" t="s">
        <v>24</v>
      </c>
      <c r="H23" t="s">
        <v>56</v>
      </c>
      <c r="I23" s="4" t="s">
        <v>29</v>
      </c>
      <c r="J23" s="4" t="s">
        <v>30</v>
      </c>
    </row>
    <row r="24" spans="1:12" x14ac:dyDescent="0.25">
      <c r="A24" t="s">
        <v>25</v>
      </c>
      <c r="B24" s="13">
        <f t="shared" si="3"/>
        <v>5.5047523854133342E-4</v>
      </c>
      <c r="C24" t="s">
        <v>210</v>
      </c>
      <c r="H24" s="9" t="s">
        <v>54</v>
      </c>
      <c r="I24" s="5">
        <v>0.56775961232004202</v>
      </c>
      <c r="J24">
        <f>DEGREES(I24)</f>
        <v>32.530229563922227</v>
      </c>
    </row>
    <row r="25" spans="1:12" x14ac:dyDescent="0.25">
      <c r="A25" t="s">
        <v>26</v>
      </c>
      <c r="B25" s="13">
        <f t="shared" si="3"/>
        <v>5.85045021183429E-4</v>
      </c>
      <c r="C25" t="s">
        <v>210</v>
      </c>
      <c r="D25" s="65" t="s">
        <v>207</v>
      </c>
      <c r="E25" s="65"/>
      <c r="F25" s="65"/>
      <c r="H25" s="9" t="s">
        <v>55</v>
      </c>
      <c r="I25" s="5">
        <v>7.8539745821434472</v>
      </c>
      <c r="J25">
        <f>DEGREES(I25)</f>
        <v>449.99959595984382</v>
      </c>
    </row>
    <row r="26" spans="1:12" x14ac:dyDescent="0.25">
      <c r="A26" t="s">
        <v>28</v>
      </c>
      <c r="B26" s="13">
        <f t="shared" si="3"/>
        <v>5.7097174849104712E-4</v>
      </c>
      <c r="C26" t="s">
        <v>210</v>
      </c>
      <c r="D26" t="s">
        <v>20</v>
      </c>
      <c r="E26">
        <f>E27/K53*100</f>
        <v>2.3311947738019168E-16</v>
      </c>
      <c r="F26" t="s">
        <v>210</v>
      </c>
      <c r="H26" s="9" t="s">
        <v>79</v>
      </c>
      <c r="I26" s="5">
        <v>3.1415926265793828</v>
      </c>
      <c r="J26">
        <f>DEGREES(I26)</f>
        <v>179.99999845241749</v>
      </c>
    </row>
    <row r="27" spans="1:12" x14ac:dyDescent="0.25">
      <c r="A27" t="s">
        <v>100</v>
      </c>
      <c r="B27" s="13">
        <f t="shared" si="3"/>
        <v>5.7023210855029934E-4</v>
      </c>
      <c r="C27" t="s">
        <v>210</v>
      </c>
      <c r="D27" t="s">
        <v>23</v>
      </c>
      <c r="E27">
        <f>H52</f>
        <v>3.7447816444839679E-18</v>
      </c>
      <c r="F27" t="s">
        <v>24</v>
      </c>
    </row>
    <row r="28" spans="1:12" x14ac:dyDescent="0.25">
      <c r="A28" t="s">
        <v>116</v>
      </c>
      <c r="B28" s="13">
        <f t="shared" si="3"/>
        <v>5.0632768411885238E-4</v>
      </c>
      <c r="C28" t="s">
        <v>210</v>
      </c>
    </row>
    <row r="29" spans="1:12" ht="15" customHeight="1" x14ac:dyDescent="0.25">
      <c r="A29" t="s">
        <v>117</v>
      </c>
      <c r="B29" s="13">
        <f t="shared" si="3"/>
        <v>3.7449281343192818E-4</v>
      </c>
      <c r="C29" t="s">
        <v>210</v>
      </c>
      <c r="E29" s="61" t="s">
        <v>274</v>
      </c>
      <c r="F29" s="61"/>
      <c r="H29" s="61" t="s">
        <v>235</v>
      </c>
      <c r="I29" s="61"/>
      <c r="J29" s="61"/>
      <c r="K29" s="4"/>
      <c r="L29" s="4"/>
    </row>
    <row r="30" spans="1:12" x14ac:dyDescent="0.25">
      <c r="E30" s="61"/>
      <c r="F30" s="61"/>
      <c r="H30" s="61"/>
      <c r="I30" s="61"/>
      <c r="J30" s="61"/>
      <c r="K30" s="4"/>
      <c r="L30" s="4"/>
    </row>
    <row r="31" spans="1:12" x14ac:dyDescent="0.25">
      <c r="H31" s="61"/>
      <c r="I31" s="61"/>
      <c r="J31" s="61"/>
      <c r="K31" s="4"/>
      <c r="L31" s="4"/>
    </row>
    <row r="32" spans="1:12" x14ac:dyDescent="0.25">
      <c r="D32" s="2" t="s">
        <v>14</v>
      </c>
      <c r="E32" s="71" t="s">
        <v>15</v>
      </c>
      <c r="F32" s="71"/>
      <c r="H32" s="61"/>
      <c r="I32" s="61"/>
      <c r="J32" s="61"/>
    </row>
    <row r="33" spans="1:13" x14ac:dyDescent="0.25">
      <c r="A33" s="61" t="s">
        <v>275</v>
      </c>
      <c r="B33" s="61"/>
      <c r="C33" s="61"/>
      <c r="D33" s="2"/>
      <c r="E33" s="72" t="s">
        <v>16</v>
      </c>
      <c r="F33" s="72"/>
      <c r="H33" s="61"/>
      <c r="I33" s="61"/>
      <c r="J33" s="61"/>
    </row>
    <row r="34" spans="1:13" x14ac:dyDescent="0.25">
      <c r="A34" s="61"/>
      <c r="B34" s="61"/>
      <c r="C34" s="61"/>
      <c r="D34" s="2"/>
      <c r="E34" s="73" t="s">
        <v>307</v>
      </c>
      <c r="F34" s="74"/>
      <c r="H34" s="4"/>
      <c r="I34" s="4"/>
      <c r="J34" s="4"/>
      <c r="K34" s="4"/>
      <c r="L34" s="4"/>
    </row>
    <row r="35" spans="1:13" x14ac:dyDescent="0.25">
      <c r="H35" s="4"/>
      <c r="I35" s="4"/>
      <c r="J35" s="4"/>
      <c r="K35" s="4"/>
      <c r="L35" s="4"/>
    </row>
    <row r="36" spans="1:13" x14ac:dyDescent="0.25">
      <c r="H36" s="4"/>
      <c r="I36" s="4"/>
      <c r="J36" s="4"/>
      <c r="K36" s="4"/>
      <c r="L36" s="4"/>
    </row>
    <row r="39" spans="1:13" ht="15" customHeight="1" x14ac:dyDescent="0.25">
      <c r="A39" s="68" t="s">
        <v>83</v>
      </c>
      <c r="B39" s="7"/>
      <c r="C39" s="8" t="s">
        <v>31</v>
      </c>
      <c r="D39" s="8" t="s">
        <v>32</v>
      </c>
      <c r="E39" s="8" t="s">
        <v>33</v>
      </c>
      <c r="F39" s="8"/>
      <c r="G39" s="61" t="s">
        <v>95</v>
      </c>
      <c r="H39" s="61"/>
    </row>
    <row r="40" spans="1:13" x14ac:dyDescent="0.25">
      <c r="A40" s="68"/>
      <c r="B40" t="s">
        <v>82</v>
      </c>
      <c r="C40">
        <f t="shared" ref="C40:C48" si="4">B10*$G$40+C10*$H$40+D10*$I$40</f>
        <v>0</v>
      </c>
      <c r="D40">
        <f t="shared" ref="D40:D48" si="5">B10*$G$41+C10*$H$41+D10*$I$41</f>
        <v>0</v>
      </c>
      <c r="E40">
        <f t="shared" ref="E40:E48" si="6">B10*$G$42+C10*$H$42+D10*$I$42</f>
        <v>0</v>
      </c>
      <c r="G40">
        <f>B4</f>
        <v>1</v>
      </c>
      <c r="H40">
        <f>B5*(COS(M42))</f>
        <v>6.1257422745431001E-17</v>
      </c>
      <c r="I40">
        <f>B6*(COS(M41))</f>
        <v>6.1257422745431001E-17</v>
      </c>
      <c r="K40" t="s">
        <v>51</v>
      </c>
      <c r="L40">
        <f>D4</f>
        <v>90</v>
      </c>
      <c r="M40">
        <f>RADIANS(L40)</f>
        <v>1.5707963267948966</v>
      </c>
    </row>
    <row r="41" spans="1:13" x14ac:dyDescent="0.25">
      <c r="B41" t="str">
        <f t="shared" ref="B41:B48" si="7">A22</f>
        <v>P1</v>
      </c>
      <c r="C41">
        <f t="shared" si="4"/>
        <v>1.5730059863001078E-16</v>
      </c>
      <c r="D41">
        <f t="shared" si="5"/>
        <v>1</v>
      </c>
      <c r="E41">
        <f t="shared" si="6"/>
        <v>1.567861845636386</v>
      </c>
      <c r="G41">
        <f>0</f>
        <v>0</v>
      </c>
      <c r="H41">
        <f>B5*(SIN(M42))</f>
        <v>1</v>
      </c>
      <c r="I41">
        <f>(B6*(COS(M40)-COS(M41)*COS(M42)))/(SIN(M42))</f>
        <v>6.1257422745431001E-17</v>
      </c>
      <c r="K41" t="s">
        <v>93</v>
      </c>
      <c r="L41">
        <f>D5</f>
        <v>90</v>
      </c>
      <c r="M41">
        <f>RADIANS(L41)</f>
        <v>1.5707963267948966</v>
      </c>
    </row>
    <row r="42" spans="1:13" x14ac:dyDescent="0.25">
      <c r="B42" t="str">
        <f>A23</f>
        <v>P2</v>
      </c>
      <c r="C42">
        <f t="shared" si="4"/>
        <v>3.4785753139148782E-17</v>
      </c>
      <c r="D42">
        <f t="shared" si="5"/>
        <v>-0.99999999999999989</v>
      </c>
      <c r="E42">
        <f t="shared" si="6"/>
        <v>1.567861845636386</v>
      </c>
      <c r="G42">
        <f>0</f>
        <v>0</v>
      </c>
      <c r="H42">
        <f>0</f>
        <v>0</v>
      </c>
      <c r="I42">
        <f>B6*(SQRT(1-POWER(COS(M41),2)-(POWER(COS(M40)-(COS(M41)*COS(M42)),2))/(POWER(SIN(M42),2))))</f>
        <v>1</v>
      </c>
      <c r="K42" t="s">
        <v>94</v>
      </c>
      <c r="L42">
        <f>D6</f>
        <v>90</v>
      </c>
      <c r="M42">
        <f>RADIANS(L42)</f>
        <v>1.5707963267948966</v>
      </c>
    </row>
    <row r="43" spans="1:13" x14ac:dyDescent="0.25">
      <c r="B43" t="str">
        <f t="shared" si="7"/>
        <v>P3</v>
      </c>
      <c r="C43">
        <f t="shared" si="4"/>
        <v>1.2891685509362201</v>
      </c>
      <c r="D43">
        <f t="shared" si="5"/>
        <v>2.5184343612482261E-17</v>
      </c>
      <c r="E43">
        <f t="shared" si="6"/>
        <v>0.41112313387948862</v>
      </c>
      <c r="G43" s="65" t="s">
        <v>272</v>
      </c>
      <c r="H43" s="65"/>
    </row>
    <row r="44" spans="1:13" x14ac:dyDescent="0.25">
      <c r="B44" t="str">
        <f t="shared" si="7"/>
        <v>P4</v>
      </c>
      <c r="C44">
        <f t="shared" si="4"/>
        <v>-1.2891685509362201</v>
      </c>
      <c r="D44">
        <f t="shared" si="5"/>
        <v>2.5184343612482261E-17</v>
      </c>
      <c r="E44">
        <f t="shared" si="6"/>
        <v>0.41112313387948862</v>
      </c>
      <c r="G44" s="6">
        <f>1/G40</f>
        <v>1</v>
      </c>
      <c r="H44">
        <f>-H40/(G40*H41)</f>
        <v>-6.1257422745431001E-17</v>
      </c>
      <c r="I44">
        <f>(H40*I41)/(G40*H41*I42)-I40/(G40*I42)</f>
        <v>-6.1257422745431001E-17</v>
      </c>
    </row>
    <row r="45" spans="1:13" x14ac:dyDescent="0.25">
      <c r="B45" t="str">
        <f t="shared" si="7"/>
        <v>P5</v>
      </c>
      <c r="C45">
        <f t="shared" si="4"/>
        <v>5.3786799302332467E-17</v>
      </c>
      <c r="D45">
        <f t="shared" si="5"/>
        <v>1.2891685509362201</v>
      </c>
      <c r="E45">
        <f t="shared" si="6"/>
        <v>-0.41112313387948862</v>
      </c>
      <c r="G45" s="6">
        <f>0</f>
        <v>0</v>
      </c>
      <c r="H45" s="6">
        <f>1/H41</f>
        <v>1</v>
      </c>
      <c r="I45">
        <f>-I41/(H41*I42)</f>
        <v>-6.1257422745431001E-17</v>
      </c>
    </row>
    <row r="46" spans="1:13" x14ac:dyDescent="0.25">
      <c r="B46" t="str">
        <f t="shared" si="7"/>
        <v>P6</v>
      </c>
      <c r="C46">
        <f t="shared" si="4"/>
        <v>-1.0415548652729698E-16</v>
      </c>
      <c r="D46">
        <f t="shared" si="5"/>
        <v>-1.2891685509362201</v>
      </c>
      <c r="E46">
        <f t="shared" si="6"/>
        <v>-0.41112313387948862</v>
      </c>
      <c r="G46" s="6">
        <f>0</f>
        <v>0</v>
      </c>
      <c r="H46">
        <f>0</f>
        <v>0</v>
      </c>
      <c r="I46" s="6">
        <f>1/I42</f>
        <v>1</v>
      </c>
    </row>
    <row r="47" spans="1:13" x14ac:dyDescent="0.25">
      <c r="B47" t="str">
        <f t="shared" si="7"/>
        <v>P7</v>
      </c>
      <c r="C47">
        <f t="shared" si="4"/>
        <v>0.99999999999999989</v>
      </c>
      <c r="D47">
        <f t="shared" si="5"/>
        <v>-9.6043175884579783E-17</v>
      </c>
      <c r="E47">
        <f t="shared" si="6"/>
        <v>-1.567861845636386</v>
      </c>
      <c r="G47" s="6"/>
      <c r="I47" s="6"/>
    </row>
    <row r="48" spans="1:13" x14ac:dyDescent="0.25">
      <c r="B48" t="str">
        <f t="shared" si="7"/>
        <v>P8</v>
      </c>
      <c r="C48">
        <f t="shared" si="4"/>
        <v>-1</v>
      </c>
      <c r="D48">
        <f t="shared" si="5"/>
        <v>-9.6043175884579783E-17</v>
      </c>
      <c r="E48">
        <f t="shared" si="6"/>
        <v>-1.567861845636386</v>
      </c>
      <c r="G48" s="6"/>
      <c r="I48" s="6"/>
    </row>
    <row r="49" spans="1:14" x14ac:dyDescent="0.25">
      <c r="A49" t="s">
        <v>203</v>
      </c>
      <c r="B49" t="s">
        <v>204</v>
      </c>
      <c r="C49">
        <f>AVERAGE(C41:C48)</f>
        <v>0</v>
      </c>
      <c r="D49">
        <f>AVERAGE(D41:D48)</f>
        <v>3.7447816444839679E-18</v>
      </c>
      <c r="E49">
        <f>AVERAGE(E41:E48)</f>
        <v>0</v>
      </c>
      <c r="G49" s="6"/>
      <c r="I49" s="6"/>
    </row>
    <row r="50" spans="1:14" x14ac:dyDescent="0.25">
      <c r="G50" s="6"/>
    </row>
    <row r="51" spans="1:14" x14ac:dyDescent="0.25">
      <c r="A51" s="19" t="s">
        <v>205</v>
      </c>
      <c r="G51" s="6"/>
    </row>
    <row r="52" spans="1:14" x14ac:dyDescent="0.25">
      <c r="A52" s="30" t="s">
        <v>211</v>
      </c>
      <c r="B52" t="s">
        <v>208</v>
      </c>
      <c r="C52">
        <f>C40-C$49</f>
        <v>0</v>
      </c>
      <c r="D52">
        <f>D40-D$49</f>
        <v>-3.7447816444839679E-18</v>
      </c>
      <c r="E52">
        <f>E40-E$49</f>
        <v>0</v>
      </c>
      <c r="G52" s="6" t="s">
        <v>209</v>
      </c>
      <c r="H52">
        <f t="shared" ref="H52:H60" si="8">SQRT(POWER(C52,2)+POWER(D52,2)+POWER(E52,2))</f>
        <v>3.7447816444839679E-18</v>
      </c>
    </row>
    <row r="53" spans="1:14" x14ac:dyDescent="0.25">
      <c r="A53" s="4" t="s">
        <v>212</v>
      </c>
      <c r="B53" s="7" t="s">
        <v>36</v>
      </c>
      <c r="C53">
        <f>C41-C$49</f>
        <v>1.5730059863001078E-16</v>
      </c>
      <c r="D53">
        <f t="shared" ref="C53:E60" si="9">D41-D$49</f>
        <v>1</v>
      </c>
      <c r="E53">
        <f t="shared" si="9"/>
        <v>1.567861845636386</v>
      </c>
      <c r="G53" s="6" t="s">
        <v>37</v>
      </c>
      <c r="H53">
        <f t="shared" si="8"/>
        <v>1.8596211353397591</v>
      </c>
      <c r="J53" s="6" t="s">
        <v>314</v>
      </c>
      <c r="K53">
        <f>AVERAGE(H53:H60)</f>
        <v>1.6063787061330144</v>
      </c>
    </row>
    <row r="54" spans="1:14" x14ac:dyDescent="0.25">
      <c r="A54" s="4" t="s">
        <v>213</v>
      </c>
      <c r="B54" s="7" t="s">
        <v>39</v>
      </c>
      <c r="C54">
        <f t="shared" si="9"/>
        <v>3.4785753139148782E-17</v>
      </c>
      <c r="D54">
        <f>D42-D$49</f>
        <v>-0.99999999999999989</v>
      </c>
      <c r="E54">
        <f t="shared" si="9"/>
        <v>1.567861845636386</v>
      </c>
      <c r="G54" s="6" t="s">
        <v>40</v>
      </c>
      <c r="H54">
        <f t="shared" si="8"/>
        <v>1.8596211353397591</v>
      </c>
    </row>
    <row r="55" spans="1:14" x14ac:dyDescent="0.25">
      <c r="A55" s="4" t="s">
        <v>214</v>
      </c>
      <c r="B55" s="7" t="s">
        <v>42</v>
      </c>
      <c r="C55">
        <f t="shared" si="9"/>
        <v>1.2891685509362201</v>
      </c>
      <c r="D55">
        <f t="shared" si="9"/>
        <v>2.1439561967998293E-17</v>
      </c>
      <c r="E55">
        <f t="shared" si="9"/>
        <v>0.41112313387948862</v>
      </c>
      <c r="G55" s="6" t="s">
        <v>43</v>
      </c>
      <c r="H55">
        <f t="shared" si="8"/>
        <v>1.3531362769262694</v>
      </c>
    </row>
    <row r="56" spans="1:14" x14ac:dyDescent="0.25">
      <c r="A56" s="4" t="s">
        <v>215</v>
      </c>
      <c r="B56" s="7" t="s">
        <v>45</v>
      </c>
      <c r="C56">
        <f t="shared" si="9"/>
        <v>-1.2891685509362201</v>
      </c>
      <c r="D56">
        <f t="shared" si="9"/>
        <v>2.1439561967998293E-17</v>
      </c>
      <c r="E56">
        <f t="shared" si="9"/>
        <v>0.41112313387948862</v>
      </c>
      <c r="G56" s="6" t="s">
        <v>46</v>
      </c>
      <c r="H56">
        <f t="shared" si="8"/>
        <v>1.3531362769262694</v>
      </c>
    </row>
    <row r="57" spans="1:14" x14ac:dyDescent="0.25">
      <c r="A57" s="4" t="s">
        <v>216</v>
      </c>
      <c r="B57" s="7" t="s">
        <v>48</v>
      </c>
      <c r="C57">
        <f t="shared" si="9"/>
        <v>5.3786799302332467E-17</v>
      </c>
      <c r="D57">
        <f t="shared" si="9"/>
        <v>1.2891685509362201</v>
      </c>
      <c r="E57">
        <f t="shared" si="9"/>
        <v>-0.41112313387948862</v>
      </c>
      <c r="G57" s="6" t="s">
        <v>49</v>
      </c>
      <c r="H57">
        <f t="shared" si="8"/>
        <v>1.3531362769262694</v>
      </c>
    </row>
    <row r="58" spans="1:14" x14ac:dyDescent="0.25">
      <c r="A58" s="4" t="s">
        <v>217</v>
      </c>
      <c r="B58" s="7" t="s">
        <v>102</v>
      </c>
      <c r="C58">
        <f t="shared" si="9"/>
        <v>-1.0415548652729698E-16</v>
      </c>
      <c r="D58">
        <f t="shared" si="9"/>
        <v>-1.2891685509362201</v>
      </c>
      <c r="E58">
        <f t="shared" si="9"/>
        <v>-0.41112313387948862</v>
      </c>
      <c r="G58" s="6" t="s">
        <v>135</v>
      </c>
      <c r="H58">
        <f t="shared" si="8"/>
        <v>1.3531362769262694</v>
      </c>
    </row>
    <row r="59" spans="1:14" x14ac:dyDescent="0.25">
      <c r="A59" s="4" t="s">
        <v>218</v>
      </c>
      <c r="B59" s="7" t="s">
        <v>122</v>
      </c>
      <c r="C59">
        <f t="shared" si="9"/>
        <v>0.99999999999999989</v>
      </c>
      <c r="D59">
        <f t="shared" si="9"/>
        <v>-9.9787957529063744E-17</v>
      </c>
      <c r="E59">
        <f t="shared" si="9"/>
        <v>-1.567861845636386</v>
      </c>
      <c r="G59" s="6" t="s">
        <v>136</v>
      </c>
      <c r="H59">
        <f t="shared" si="8"/>
        <v>1.8596211353397591</v>
      </c>
    </row>
    <row r="60" spans="1:14" x14ac:dyDescent="0.25">
      <c r="A60" s="4" t="s">
        <v>219</v>
      </c>
      <c r="B60" s="7" t="s">
        <v>123</v>
      </c>
      <c r="C60">
        <f t="shared" si="9"/>
        <v>-1</v>
      </c>
      <c r="D60">
        <f>D48-D$49</f>
        <v>-9.9787957529063744E-17</v>
      </c>
      <c r="E60">
        <f t="shared" si="9"/>
        <v>-1.567861845636386</v>
      </c>
      <c r="G60" s="6" t="s">
        <v>137</v>
      </c>
      <c r="H60">
        <f t="shared" si="8"/>
        <v>1.8596211353397591</v>
      </c>
    </row>
    <row r="61" spans="1:14" x14ac:dyDescent="0.25">
      <c r="J61" t="s">
        <v>87</v>
      </c>
      <c r="K61" t="s">
        <v>88</v>
      </c>
    </row>
    <row r="62" spans="1:14" x14ac:dyDescent="0.25">
      <c r="A62" s="17" t="s">
        <v>157</v>
      </c>
      <c r="B62" s="7" t="str">
        <f t="shared" ref="B62:B69" si="10">B53</f>
        <v>vector P1</v>
      </c>
      <c r="C62">
        <f>C53/$K$53</f>
        <v>9.7922487411872902E-17</v>
      </c>
      <c r="D62">
        <f t="shared" ref="C62:E69" si="11">D53/$K$53</f>
        <v>0.62251821203934465</v>
      </c>
      <c r="E62">
        <f t="shared" si="11"/>
        <v>0.97602255287027007</v>
      </c>
      <c r="G62" s="6" t="s">
        <v>67</v>
      </c>
      <c r="H62">
        <f>SQRT(C62^2+D62^2+E62^2)</f>
        <v>1.1576480242422831</v>
      </c>
      <c r="I62" s="6"/>
      <c r="J62">
        <f t="shared" ref="J62:J69" si="12">ACOS((C62*C63+D62*D63+E62*E63)/(SQRT(C62^2+D62^2+E62^2)*SQRT(C63^2+D63^2+E63^2)))</f>
        <v>1.1355178738942135</v>
      </c>
      <c r="K62">
        <f t="shared" ref="K62:K69" si="13">DEGREES(J62)</f>
        <v>65.060381735806871</v>
      </c>
      <c r="L62" t="s">
        <v>81</v>
      </c>
      <c r="M62" s="6" t="s">
        <v>50</v>
      </c>
      <c r="N62">
        <f>AVERAGE(H62:H69)</f>
        <v>0.99999999999999978</v>
      </c>
    </row>
    <row r="63" spans="1:14" x14ac:dyDescent="0.25">
      <c r="A63" s="4"/>
      <c r="B63" s="7" t="str">
        <f t="shared" si="10"/>
        <v>vector P2</v>
      </c>
      <c r="C63">
        <f>C54/$K$53</f>
        <v>2.1654764848624923E-17</v>
      </c>
      <c r="D63">
        <f t="shared" si="11"/>
        <v>-0.62251821203934465</v>
      </c>
      <c r="E63">
        <f t="shared" si="11"/>
        <v>0.97602255287027007</v>
      </c>
      <c r="G63" s="6" t="s">
        <v>68</v>
      </c>
      <c r="H63">
        <f t="shared" ref="H63:H69" si="14">SQRT(C63^2+D63^2+E63^2)</f>
        <v>1.1576480242422831</v>
      </c>
      <c r="J63">
        <f t="shared" si="12"/>
        <v>1.3117473209476433</v>
      </c>
      <c r="K63">
        <f t="shared" si="13"/>
        <v>75.157585277892608</v>
      </c>
      <c r="L63" t="s">
        <v>89</v>
      </c>
    </row>
    <row r="64" spans="1:14" x14ac:dyDescent="0.25">
      <c r="A64" s="4"/>
      <c r="B64" s="7" t="str">
        <f t="shared" si="10"/>
        <v>vector P3</v>
      </c>
      <c r="C64">
        <f t="shared" si="11"/>
        <v>0.80253090134616856</v>
      </c>
      <c r="D64">
        <f t="shared" si="11"/>
        <v>1.3346517783225032E-17</v>
      </c>
      <c r="E64">
        <f t="shared" si="11"/>
        <v>0.25593163823067139</v>
      </c>
      <c r="G64" s="6" t="s">
        <v>69</v>
      </c>
      <c r="H64">
        <f t="shared" si="14"/>
        <v>0.8423519757577167</v>
      </c>
      <c r="J64">
        <f t="shared" si="12"/>
        <v>2.524172791390086</v>
      </c>
      <c r="K64">
        <f t="shared" si="13"/>
        <v>144.6244477084079</v>
      </c>
      <c r="L64" t="s">
        <v>90</v>
      </c>
    </row>
    <row r="65" spans="1:12" x14ac:dyDescent="0.25">
      <c r="A65" s="4"/>
      <c r="B65" s="7" t="str">
        <f t="shared" si="10"/>
        <v>vector P4</v>
      </c>
      <c r="C65">
        <f t="shared" si="11"/>
        <v>-0.80253090134616856</v>
      </c>
      <c r="D65">
        <f t="shared" si="11"/>
        <v>1.3346517783225032E-17</v>
      </c>
      <c r="E65">
        <f t="shared" si="11"/>
        <v>0.25593163823067139</v>
      </c>
      <c r="G65" s="6" t="s">
        <v>70</v>
      </c>
      <c r="H65">
        <f t="shared" si="14"/>
        <v>0.8423519757577167</v>
      </c>
      <c r="J65">
        <f t="shared" si="12"/>
        <v>1.6632404923045596</v>
      </c>
      <c r="K65">
        <f t="shared" si="13"/>
        <v>95.296660524312543</v>
      </c>
      <c r="L65" t="s">
        <v>91</v>
      </c>
    </row>
    <row r="66" spans="1:12" x14ac:dyDescent="0.25">
      <c r="A66" s="4"/>
      <c r="B66" s="7" t="str">
        <f t="shared" si="10"/>
        <v>vector P5</v>
      </c>
      <c r="C66">
        <f t="shared" si="11"/>
        <v>3.3483262133007081E-17</v>
      </c>
      <c r="D66">
        <f t="shared" si="11"/>
        <v>0.80253090134616856</v>
      </c>
      <c r="E66">
        <f t="shared" si="11"/>
        <v>-0.25593163823067139</v>
      </c>
      <c r="G66" s="6" t="s">
        <v>71</v>
      </c>
      <c r="H66">
        <f t="shared" si="14"/>
        <v>0.8423519757577167</v>
      </c>
      <c r="J66">
        <f t="shared" si="12"/>
        <v>2.524172791390086</v>
      </c>
      <c r="K66">
        <f t="shared" si="13"/>
        <v>144.6244477084079</v>
      </c>
      <c r="L66" t="s">
        <v>149</v>
      </c>
    </row>
    <row r="67" spans="1:12" x14ac:dyDescent="0.25">
      <c r="B67" s="7" t="str">
        <f t="shared" si="10"/>
        <v>vector P6</v>
      </c>
      <c r="C67">
        <f t="shared" si="11"/>
        <v>-6.483868724706097E-17</v>
      </c>
      <c r="D67">
        <f t="shared" si="11"/>
        <v>-0.80253090134616856</v>
      </c>
      <c r="E67">
        <f t="shared" si="11"/>
        <v>-0.25593163823067139</v>
      </c>
      <c r="G67" s="6" t="s">
        <v>142</v>
      </c>
      <c r="H67">
        <f t="shared" si="14"/>
        <v>0.8423519757577167</v>
      </c>
      <c r="J67">
        <f t="shared" si="12"/>
        <v>1.3117473209476433</v>
      </c>
      <c r="K67">
        <f t="shared" si="13"/>
        <v>75.157585277892608</v>
      </c>
      <c r="L67" t="s">
        <v>150</v>
      </c>
    </row>
    <row r="68" spans="1:12" x14ac:dyDescent="0.25">
      <c r="B68" s="7" t="str">
        <f t="shared" si="10"/>
        <v>vector P7</v>
      </c>
      <c r="C68">
        <f t="shared" si="11"/>
        <v>0.62251821203934465</v>
      </c>
      <c r="D68">
        <f t="shared" si="11"/>
        <v>-6.2119820904050825E-17</v>
      </c>
      <c r="E68">
        <f t="shared" si="11"/>
        <v>-0.97602255287027007</v>
      </c>
      <c r="G68" s="6" t="s">
        <v>143</v>
      </c>
      <c r="H68">
        <f t="shared" si="14"/>
        <v>1.1576480242422831</v>
      </c>
      <c r="J68">
        <f t="shared" si="12"/>
        <v>1.1355178738942135</v>
      </c>
      <c r="K68">
        <f t="shared" si="13"/>
        <v>65.060381735806871</v>
      </c>
      <c r="L68" t="s">
        <v>151</v>
      </c>
    </row>
    <row r="69" spans="1:12" x14ac:dyDescent="0.25">
      <c r="B69" s="7" t="str">
        <f t="shared" si="10"/>
        <v>vector P8</v>
      </c>
      <c r="C69">
        <f t="shared" si="11"/>
        <v>-0.62251821203934465</v>
      </c>
      <c r="D69">
        <f t="shared" si="11"/>
        <v>-6.2119820904050825E-17</v>
      </c>
      <c r="E69">
        <f t="shared" si="11"/>
        <v>-0.97602255287027007</v>
      </c>
      <c r="G69" s="6" t="s">
        <v>144</v>
      </c>
      <c r="H69">
        <f t="shared" si="14"/>
        <v>1.1576480242422831</v>
      </c>
      <c r="J69" t="e">
        <f t="shared" si="12"/>
        <v>#DIV/0!</v>
      </c>
      <c r="K69" t="e">
        <f t="shared" si="13"/>
        <v>#DIV/0!</v>
      </c>
      <c r="L69" t="s">
        <v>168</v>
      </c>
    </row>
    <row r="70" spans="1:12" x14ac:dyDescent="0.25">
      <c r="B70" s="7"/>
      <c r="G70" s="6"/>
    </row>
    <row r="71" spans="1:12" x14ac:dyDescent="0.25">
      <c r="A71" s="82" t="s">
        <v>248</v>
      </c>
      <c r="B71" t="s">
        <v>242</v>
      </c>
      <c r="C71" s="7">
        <f>(SQRT(3+2*C73-C73^2)+SQRT(3-C73^2))/2</f>
        <v>1.567861845636386</v>
      </c>
      <c r="D71" s="65" t="s">
        <v>263</v>
      </c>
      <c r="E71" s="65"/>
      <c r="F71" s="65"/>
      <c r="G71" s="81" t="s">
        <v>265</v>
      </c>
      <c r="H71" s="81"/>
      <c r="I71" t="s">
        <v>259</v>
      </c>
    </row>
    <row r="72" spans="1:12" x14ac:dyDescent="0.25">
      <c r="A72" s="82"/>
      <c r="B72" t="s">
        <v>243</v>
      </c>
      <c r="C72" s="7">
        <f>(SQRT(3+2*C73-C73^2)-SQRT(3-C73^2))/2</f>
        <v>0.41112313387948862</v>
      </c>
      <c r="D72" s="65" t="s">
        <v>264</v>
      </c>
      <c r="E72" s="65"/>
      <c r="F72" s="65"/>
      <c r="G72" s="6"/>
      <c r="I72" t="s">
        <v>260</v>
      </c>
    </row>
    <row r="73" spans="1:12" x14ac:dyDescent="0.25">
      <c r="A73" s="6"/>
      <c r="B73" t="s">
        <v>241</v>
      </c>
      <c r="C73" s="7">
        <v>1.2891685509362201</v>
      </c>
      <c r="D73" s="81" t="s">
        <v>244</v>
      </c>
      <c r="E73" s="81"/>
      <c r="F73" s="42">
        <f>C73^3-3*C73^2-4*C73+8</f>
        <v>-3.0289553976103889E-8</v>
      </c>
      <c r="G73" s="6"/>
      <c r="I73" t="s">
        <v>261</v>
      </c>
    </row>
    <row r="74" spans="1:12" x14ac:dyDescent="0.25">
      <c r="G74" s="6"/>
      <c r="I74" t="s">
        <v>262</v>
      </c>
    </row>
    <row r="75" spans="1:12" x14ac:dyDescent="0.25">
      <c r="C75" s="7" t="s">
        <v>29</v>
      </c>
      <c r="D75" t="s">
        <v>247</v>
      </c>
      <c r="G75" s="6"/>
    </row>
    <row r="76" spans="1:12" x14ac:dyDescent="0.25">
      <c r="B76" t="s">
        <v>245</v>
      </c>
      <c r="C76" s="7">
        <f>ACOS((I77*I81+J77*J81+K77*K81)/(SQRT(I77^2+J77^2+K77^2)*SQRT(I81^2+J81^2+K81^2)))</f>
        <v>1.3117473209476436</v>
      </c>
      <c r="D76">
        <f>DEGREES(C76)</f>
        <v>75.157585277892622</v>
      </c>
      <c r="G76" s="6" t="s">
        <v>390</v>
      </c>
      <c r="H76" t="s">
        <v>82</v>
      </c>
      <c r="I76">
        <v>0</v>
      </c>
      <c r="J76">
        <v>0</v>
      </c>
      <c r="K76">
        <v>0</v>
      </c>
    </row>
    <row r="77" spans="1:12" x14ac:dyDescent="0.25">
      <c r="B77" t="s">
        <v>246</v>
      </c>
      <c r="C77" s="7">
        <f>ACOS((I77*I78+J77*J78+K77*K78)/(SQRT(I77^2+J77^2+K77^2)*SQRT(I78^2+J78^2+K78^2)))</f>
        <v>1.1355178738942135</v>
      </c>
      <c r="D77">
        <f>DEGREES(C77)</f>
        <v>65.060381735806871</v>
      </c>
      <c r="G77" s="6" t="s">
        <v>391</v>
      </c>
      <c r="H77" t="s">
        <v>19</v>
      </c>
      <c r="I77">
        <v>0</v>
      </c>
      <c r="J77">
        <v>1</v>
      </c>
      <c r="K77">
        <f>C71</f>
        <v>1.567861845636386</v>
      </c>
    </row>
    <row r="78" spans="1:12" x14ac:dyDescent="0.25">
      <c r="B78" s="7"/>
      <c r="G78" s="6"/>
      <c r="H78" t="s">
        <v>22</v>
      </c>
      <c r="I78">
        <v>0</v>
      </c>
      <c r="J78">
        <v>-1</v>
      </c>
      <c r="K78">
        <f>C71</f>
        <v>1.567861845636386</v>
      </c>
    </row>
    <row r="79" spans="1:12" x14ac:dyDescent="0.25">
      <c r="A79" s="67" t="s">
        <v>250</v>
      </c>
      <c r="B79" s="66" t="s">
        <v>249</v>
      </c>
      <c r="C79">
        <f>C77/2</f>
        <v>0.56775893694710677</v>
      </c>
      <c r="D79">
        <f>DEGREES(C79)</f>
        <v>32.530190867903436</v>
      </c>
      <c r="G79" s="6"/>
      <c r="H79" t="s">
        <v>25</v>
      </c>
      <c r="I79">
        <f>C73</f>
        <v>1.2891685509362201</v>
      </c>
      <c r="J79">
        <v>0</v>
      </c>
      <c r="K79">
        <f>C72</f>
        <v>0.41112313387948862</v>
      </c>
    </row>
    <row r="80" spans="1:12" x14ac:dyDescent="0.25">
      <c r="A80" s="68"/>
      <c r="B80" s="66"/>
      <c r="G80" s="6"/>
      <c r="H80" t="s">
        <v>26</v>
      </c>
      <c r="I80">
        <f>-C73</f>
        <v>-1.2891685509362201</v>
      </c>
      <c r="J80">
        <v>0</v>
      </c>
      <c r="K80">
        <f>C72</f>
        <v>0.41112313387948862</v>
      </c>
    </row>
    <row r="81" spans="1:12" x14ac:dyDescent="0.25">
      <c r="B81" s="7" t="s">
        <v>179</v>
      </c>
      <c r="C81">
        <f>SIN($I$24+C79)*COS($I$25)</f>
        <v>6.3942685873807993E-6</v>
      </c>
      <c r="D81">
        <f>SIN($I$24+C79)*SIN($I$25)</f>
        <v>0.90675294895163061</v>
      </c>
      <c r="E81">
        <f>COS($I$24+C79)</f>
        <v>0.42166229322365889</v>
      </c>
      <c r="G81" s="6"/>
      <c r="H81" t="s">
        <v>28</v>
      </c>
      <c r="I81">
        <v>0</v>
      </c>
      <c r="J81">
        <f>C73</f>
        <v>1.2891685509362201</v>
      </c>
      <c r="K81">
        <f>-C72</f>
        <v>-0.41112313387948862</v>
      </c>
    </row>
    <row r="82" spans="1:12" x14ac:dyDescent="0.25">
      <c r="B82" s="7"/>
      <c r="G82" s="6"/>
      <c r="H82" t="s">
        <v>100</v>
      </c>
      <c r="I82">
        <v>0</v>
      </c>
      <c r="J82">
        <f>-C73</f>
        <v>-1.2891685509362201</v>
      </c>
      <c r="K82">
        <f>-C72</f>
        <v>-0.41112313387948862</v>
      </c>
    </row>
    <row r="83" spans="1:12" x14ac:dyDescent="0.25">
      <c r="A83" s="67" t="s">
        <v>180</v>
      </c>
      <c r="C83">
        <f>(C81^2)*(1-COS(PI()/2))+COS(PI()/2)</f>
        <v>4.0886732024987583E-11</v>
      </c>
      <c r="D83">
        <f>C81*D81*(1-COS(PI()/2))-E81*SIN(PI()/2)</f>
        <v>-0.42165649520176091</v>
      </c>
      <c r="E83">
        <f>C81*E81*(1-COS(PI()/2))+D81*SIN(PI()/2)</f>
        <v>0.90675564517358664</v>
      </c>
      <c r="G83" s="6"/>
      <c r="H83" t="s">
        <v>116</v>
      </c>
      <c r="I83">
        <v>1</v>
      </c>
      <c r="J83">
        <v>0</v>
      </c>
      <c r="K83">
        <f>-C71</f>
        <v>-1.567861845636386</v>
      </c>
    </row>
    <row r="84" spans="1:12" x14ac:dyDescent="0.25">
      <c r="A84" s="68"/>
      <c r="B84" t="s">
        <v>363</v>
      </c>
      <c r="C84">
        <f>D81*C81*(1-COS(PI()/2))+E81*SIN(PI()/2)</f>
        <v>0.42166809124555688</v>
      </c>
      <c r="D84">
        <f>(D81^2)*(1-COS(PI()/2))+COS(PI()/2)</f>
        <v>0.82220091043247845</v>
      </c>
      <c r="E84">
        <f>D81*E81*(1-COS(PI()/2))-C81*SIN(PI()/2)</f>
        <v>0.38233713357367244</v>
      </c>
      <c r="G84" s="6"/>
      <c r="H84" t="s">
        <v>117</v>
      </c>
      <c r="I84">
        <v>-1</v>
      </c>
      <c r="J84">
        <v>0</v>
      </c>
      <c r="K84">
        <f>-C71</f>
        <v>-1.567861845636386</v>
      </c>
    </row>
    <row r="85" spans="1:12" x14ac:dyDescent="0.25">
      <c r="C85">
        <f>E81*C81*(1-COS(PI()/2))-D81*SIN(PI()/2)</f>
        <v>-0.90675025272967458</v>
      </c>
      <c r="D85">
        <f>D81*E81*(1-COS(PI()/2))+C81*SIN(PI()/2)</f>
        <v>0.38234992211084723</v>
      </c>
      <c r="E85">
        <f>(E81^2)*(1-COS(PI()/2))+COS(PI()/2)</f>
        <v>0.17779908952663492</v>
      </c>
      <c r="G85" s="6"/>
    </row>
    <row r="86" spans="1:12" x14ac:dyDescent="0.25">
      <c r="B86" s="7"/>
      <c r="G86" s="6"/>
    </row>
    <row r="87" spans="1:12" ht="15" customHeight="1" x14ac:dyDescent="0.25">
      <c r="A87" s="67" t="s">
        <v>255</v>
      </c>
      <c r="B87" s="7"/>
      <c r="C87" t="s">
        <v>63</v>
      </c>
      <c r="D87" t="s">
        <v>64</v>
      </c>
      <c r="E87" t="s">
        <v>65</v>
      </c>
      <c r="J87" t="s">
        <v>87</v>
      </c>
      <c r="K87" t="s">
        <v>88</v>
      </c>
    </row>
    <row r="88" spans="1:12" x14ac:dyDescent="0.25">
      <c r="A88" s="67"/>
      <c r="B88" s="7" t="str">
        <f t="shared" ref="B88:B95" si="15">E11</f>
        <v>P1*</v>
      </c>
      <c r="C88">
        <f>SIN($I$24)*COS($I$25)</f>
        <v>3.7920834351214885E-6</v>
      </c>
      <c r="D88">
        <f>SIN($I$24)*SIN($I$25)</f>
        <v>0.53774451142902335</v>
      </c>
      <c r="E88">
        <f>COS($I$24)</f>
        <v>0.84310784625312385</v>
      </c>
      <c r="G88" s="6" t="s">
        <v>67</v>
      </c>
      <c r="H88">
        <f>SQRT(POWER(C88,2)+POWER(D88,2)+POWER(E88,2))</f>
        <v>1</v>
      </c>
      <c r="I88" s="6"/>
      <c r="J88">
        <f>ACOS((C88*C92+D88*D92+E88*E92)/(SQRT(C88^2+D88^2+E88^2)*SQRT(C92^2+D92^2+E92^2)))</f>
        <v>1.3117473209476436</v>
      </c>
      <c r="K88">
        <f>DEGREES(J88)</f>
        <v>75.157585277892622</v>
      </c>
      <c r="L88" t="s">
        <v>251</v>
      </c>
    </row>
    <row r="89" spans="1:12" x14ac:dyDescent="0.25">
      <c r="A89" s="36"/>
      <c r="B89" s="7" t="str">
        <f t="shared" si="15"/>
        <v>P2*</v>
      </c>
      <c r="C89">
        <f>SIN($I$24+C77)*COS($I$25)</f>
        <v>6.9900372435338058E-6</v>
      </c>
      <c r="D89">
        <f>SIN($I$24+C77)*SIN($I$25)</f>
        <v>0.99123719894479045</v>
      </c>
      <c r="E89">
        <f>COS($I$24+C77)</f>
        <v>-0.13209396420436945</v>
      </c>
      <c r="G89" s="6" t="s">
        <v>68</v>
      </c>
      <c r="H89">
        <f t="shared" ref="H89:H95" si="16">SQRT(POWER(C89,2)+POWER(D89,2)+POWER(E89,2))</f>
        <v>1</v>
      </c>
      <c r="J89">
        <f>ACOS((C89*C88+D89*D88+E89*E88)/(SQRT(C89^2+D89^2+E89^2)*SQRT(C88^2+D88^2+E88^2)))</f>
        <v>1.1355178738942133</v>
      </c>
      <c r="K89">
        <f>DEGREES(J89)</f>
        <v>65.060381735806871</v>
      </c>
      <c r="L89" t="s">
        <v>81</v>
      </c>
    </row>
    <row r="90" spans="1:12" x14ac:dyDescent="0.25">
      <c r="B90" s="7" t="str">
        <f t="shared" si="15"/>
        <v>P3*</v>
      </c>
      <c r="C90">
        <f>-(C92*C83+D92*D83+E92*E83)</f>
        <v>-0.95272438116938485</v>
      </c>
      <c r="D90">
        <f>-(C92*C84+D92*D84+E92*E84)</f>
        <v>0.27550529195262558</v>
      </c>
      <c r="E90">
        <f>-(C92*C85+D92*D85+E92*E85)</f>
        <v>0.12811357317439545</v>
      </c>
      <c r="G90" s="6" t="s">
        <v>69</v>
      </c>
      <c r="H90">
        <f t="shared" si="16"/>
        <v>1</v>
      </c>
      <c r="J90">
        <f>ACOS((C89*C93+D89*D93+E89*E93)/(SQRT(C89^2+D89^2+E89^2)*SQRT(C93^2+D93^2+E93^2)))</f>
        <v>1.3117473209476436</v>
      </c>
      <c r="K90">
        <f>DEGREES(J90)</f>
        <v>75.157585277892622</v>
      </c>
      <c r="L90" t="s">
        <v>252</v>
      </c>
    </row>
    <row r="91" spans="1:12" x14ac:dyDescent="0.25">
      <c r="B91" s="7" t="str">
        <f t="shared" si="15"/>
        <v>P4*</v>
      </c>
      <c r="C91">
        <f>-(C93*C83+D93*D83+E93*E83)</f>
        <v>0.95272826670816668</v>
      </c>
      <c r="D91">
        <f>-(C93*C84+D93*D84+E93*E84)</f>
        <v>0.27549185502250517</v>
      </c>
      <c r="E91">
        <f>-(C93*C85+D93*D85+E93*E85)</f>
        <v>0.12811357317439531</v>
      </c>
      <c r="G91" s="6" t="s">
        <v>70</v>
      </c>
      <c r="H91">
        <f t="shared" si="16"/>
        <v>0.99999999999999989</v>
      </c>
    </row>
    <row r="92" spans="1:12" x14ac:dyDescent="0.25">
      <c r="B92" s="7" t="str">
        <f t="shared" si="15"/>
        <v>P5*</v>
      </c>
      <c r="C92">
        <f>SIN($I$24-C76)*COS($I$25)</f>
        <v>-4.7756927750059246E-6</v>
      </c>
      <c r="D92">
        <f>SIN($I$24-C76)*SIN($I$25)</f>
        <v>-0.67722734005413632</v>
      </c>
      <c r="E92">
        <f>COS($I$24-C76)</f>
        <v>0.73577383064389568</v>
      </c>
      <c r="G92" s="6" t="s">
        <v>71</v>
      </c>
      <c r="H92">
        <f t="shared" si="16"/>
        <v>1</v>
      </c>
      <c r="J92">
        <f>ACOS((C90*C94+D90*D94+E90*E94)/(SQRT(C90^2+D90^2+E90^2)*SQRT(C94^2+D94^2+E94^2)))</f>
        <v>1.3117473209476436</v>
      </c>
      <c r="K92">
        <f>DEGREES(J92)</f>
        <v>75.157585277892622</v>
      </c>
      <c r="L92" t="s">
        <v>253</v>
      </c>
    </row>
    <row r="93" spans="1:12" x14ac:dyDescent="0.25">
      <c r="B93" s="7" t="str">
        <f t="shared" si="15"/>
        <v>P6*</v>
      </c>
      <c r="C93">
        <f>SIN($I$24+C76+C77)*COS($I$25)</f>
        <v>8.9015399323190369E-7</v>
      </c>
      <c r="D93">
        <f>SIN($I$24+C76+C77)*SIN($I$25)</f>
        <v>0.12623019307900557</v>
      </c>
      <c r="E93">
        <f>COS($I$24+C76+C77)</f>
        <v>-0.99200097699268652</v>
      </c>
      <c r="G93" s="6" t="s">
        <v>142</v>
      </c>
      <c r="H93">
        <f t="shared" si="16"/>
        <v>1</v>
      </c>
      <c r="J93">
        <f>ACOS((C95*C94+D95*D94+E95*E94)/(SQRT(C95^2+D95^2+E95^2)*SQRT(C94^2+D94^2+E94^2)))</f>
        <v>1.1355178738942133</v>
      </c>
      <c r="K93">
        <f>DEGREES(J93)</f>
        <v>65.060381735806871</v>
      </c>
      <c r="L93" t="s">
        <v>151</v>
      </c>
    </row>
    <row r="94" spans="1:12" x14ac:dyDescent="0.25">
      <c r="B94" s="7" t="str">
        <f t="shared" si="15"/>
        <v>P7*</v>
      </c>
      <c r="C94">
        <f>-(C88*C83+D88*D83+E88*E83)</f>
        <v>-0.53774933307701933</v>
      </c>
      <c r="D94">
        <f>-(C88*C84+D88*D84+E88*E84)</f>
        <v>-0.76448706310748715</v>
      </c>
      <c r="E94">
        <f>-(C88*C85+D88*D85+E88*E85)</f>
        <v>-0.35550694102437708</v>
      </c>
      <c r="G94" s="6" t="s">
        <v>143</v>
      </c>
      <c r="H94">
        <f t="shared" si="16"/>
        <v>1</v>
      </c>
      <c r="J94">
        <f>ACOS((C91*C95+D91*D95+E91*E95)/(SQRT(C91^2+D91^2+E91^2)*SQRT(C95^2+D95^2+E95^2)))</f>
        <v>1.3117473209476436</v>
      </c>
      <c r="K94">
        <f>DEGREES(J94)</f>
        <v>75.157585277892622</v>
      </c>
      <c r="L94" t="s">
        <v>254</v>
      </c>
    </row>
    <row r="95" spans="1:12" x14ac:dyDescent="0.25">
      <c r="B95" s="7" t="str">
        <f t="shared" si="15"/>
        <v>P8*</v>
      </c>
      <c r="C95">
        <f>-(C89*C83+D89*D83+E89*E83)</f>
        <v>0.53773855095634038</v>
      </c>
      <c r="D95">
        <f>-(C89*C84+D89*D84+E89*E84)</f>
        <v>-0.76449464726632677</v>
      </c>
      <c r="E95">
        <f>-(C89*C85+D89*D85+E89*E85)</f>
        <v>-0.35550694102437708</v>
      </c>
      <c r="G95" s="6" t="s">
        <v>144</v>
      </c>
      <c r="H95">
        <f t="shared" si="16"/>
        <v>1</v>
      </c>
    </row>
    <row r="96" spans="1:12" x14ac:dyDescent="0.25">
      <c r="B96" s="7"/>
      <c r="G96" s="6"/>
    </row>
    <row r="97" spans="1:12" x14ac:dyDescent="0.25">
      <c r="A97" s="82" t="s">
        <v>256</v>
      </c>
      <c r="B97" s="7" t="s">
        <v>258</v>
      </c>
      <c r="C97">
        <f>SQRT(0^2+1^2+C71^2)</f>
        <v>1.8596211353397591</v>
      </c>
      <c r="G97" s="6"/>
    </row>
    <row r="98" spans="1:12" x14ac:dyDescent="0.25">
      <c r="A98" s="82"/>
      <c r="B98" s="7" t="s">
        <v>257</v>
      </c>
      <c r="C98">
        <f>SQRT(C73^2+0^2+C72^2)</f>
        <v>1.3531362769262694</v>
      </c>
      <c r="G98" s="6"/>
    </row>
    <row r="99" spans="1:12" x14ac:dyDescent="0.25">
      <c r="B99" s="7"/>
      <c r="G99" s="6"/>
      <c r="J99" t="s">
        <v>50</v>
      </c>
      <c r="K99">
        <f>AVERAGE(H101:H108)</f>
        <v>1</v>
      </c>
    </row>
    <row r="100" spans="1:12" x14ac:dyDescent="0.25">
      <c r="B100" s="7"/>
      <c r="G100" s="6"/>
    </row>
    <row r="101" spans="1:12" ht="15" customHeight="1" x14ac:dyDescent="0.25">
      <c r="A101" s="67" t="s">
        <v>266</v>
      </c>
      <c r="B101" s="7" t="str">
        <f>B88</f>
        <v>P1*</v>
      </c>
      <c r="C101">
        <f>(C88*$C$97)/(($C$97+$C$98)/2)</f>
        <v>4.3898978964302818E-6</v>
      </c>
      <c r="D101">
        <f>(D88*$C$97)/(($C$97+$C$98)/2)</f>
        <v>0.6225188712029408</v>
      </c>
      <c r="E101">
        <f>(E88*$C$97)/(($C$97+$C$98)/2)</f>
        <v>0.97602213243809555</v>
      </c>
      <c r="G101" s="6" t="s">
        <v>67</v>
      </c>
      <c r="H101">
        <f>SQRT(POWER(C101,2)+POWER(D101,2)+POWER(E101,2))</f>
        <v>1.1576480242422833</v>
      </c>
      <c r="I101" s="6"/>
      <c r="J101">
        <f>ACOS((C101*C105+D101*D105+E101*E105)/(SQRT(C101^2+D101^2+E101^2)*SQRT(C105^2+D105^2+E105^2)))</f>
        <v>1.3117473209476436</v>
      </c>
      <c r="K101">
        <f>DEGREES(J101)</f>
        <v>75.157585277892622</v>
      </c>
      <c r="L101" t="s">
        <v>251</v>
      </c>
    </row>
    <row r="102" spans="1:12" x14ac:dyDescent="0.25">
      <c r="A102" s="67"/>
      <c r="B102" s="7" t="str">
        <f t="shared" ref="B102:B108" si="17">B89</f>
        <v>P2*</v>
      </c>
      <c r="C102">
        <f t="shared" ref="C102:E102" si="18">(C89*$C$97)/(($C$97+$C$98)/2)</f>
        <v>8.0920028043568865E-6</v>
      </c>
      <c r="D102">
        <f t="shared" si="18"/>
        <v>1.1475037849138918</v>
      </c>
      <c r="E102">
        <f t="shared" si="18"/>
        <v>-0.15291831667551919</v>
      </c>
      <c r="G102" s="6" t="s">
        <v>68</v>
      </c>
      <c r="H102">
        <f t="shared" ref="H102:H108" si="19">SQRT(POWER(C102,2)+POWER(D102,2)+POWER(E102,2))</f>
        <v>1.1576480242422833</v>
      </c>
      <c r="J102">
        <f>ACOS((C102*C101+D102*D101+E102*E101)/(SQRT(C102^2+D102^2+E102^2)*SQRT(C101^2+D101^2+E101^2)))</f>
        <v>1.1355178738942133</v>
      </c>
      <c r="K102">
        <f>DEGREES(J102)</f>
        <v>65.060381735806871</v>
      </c>
      <c r="L102" t="s">
        <v>81</v>
      </c>
    </row>
    <row r="103" spans="1:12" x14ac:dyDescent="0.25">
      <c r="A103" s="67"/>
      <c r="B103" s="7" t="str">
        <f t="shared" si="17"/>
        <v>P3*</v>
      </c>
      <c r="C103">
        <f t="shared" ref="C103:E106" si="20">(C90*$C$98)/(($C$97+$C$98)/2)</f>
        <v>-0.80252926483057951</v>
      </c>
      <c r="D103">
        <f t="shared" si="20"/>
        <v>0.23207242700800076</v>
      </c>
      <c r="E103">
        <f t="shared" si="20"/>
        <v>0.10791672148483285</v>
      </c>
      <c r="G103" s="6" t="s">
        <v>69</v>
      </c>
      <c r="H103">
        <f t="shared" si="19"/>
        <v>0.84235197575771692</v>
      </c>
      <c r="J103">
        <f>ACOS((C102*C106+D102*D106+E102*E106)/(SQRT(C102^2+D102^2+E102^2)*SQRT(C106^2+D106^2+E106^2)))</f>
        <v>1.3117473209476436</v>
      </c>
      <c r="K103">
        <f>DEGREES(J103)</f>
        <v>75.157585277892622</v>
      </c>
      <c r="L103" t="s">
        <v>252</v>
      </c>
    </row>
    <row r="104" spans="1:12" x14ac:dyDescent="0.25">
      <c r="A104" s="67"/>
      <c r="B104" s="7" t="str">
        <f t="shared" si="17"/>
        <v>P4*</v>
      </c>
      <c r="C104">
        <f t="shared" si="20"/>
        <v>0.8025325378218493</v>
      </c>
      <c r="D104">
        <f t="shared" si="20"/>
        <v>0.23206110838336572</v>
      </c>
      <c r="E104">
        <f t="shared" si="20"/>
        <v>0.10791672148483274</v>
      </c>
      <c r="G104" s="6" t="s">
        <v>70</v>
      </c>
      <c r="H104">
        <f t="shared" si="19"/>
        <v>0.84235197575771681</v>
      </c>
    </row>
    <row r="105" spans="1:12" x14ac:dyDescent="0.25">
      <c r="B105" s="7" t="str">
        <f t="shared" si="17"/>
        <v>P5*</v>
      </c>
      <c r="C105">
        <f t="shared" si="20"/>
        <v>-4.0228142446380939E-6</v>
      </c>
      <c r="D105">
        <f t="shared" si="20"/>
        <v>-0.5704637879317449</v>
      </c>
      <c r="E105">
        <f t="shared" si="20"/>
        <v>0.6197805399537093</v>
      </c>
      <c r="G105" s="6" t="s">
        <v>71</v>
      </c>
      <c r="H105">
        <f t="shared" si="19"/>
        <v>0.84235197575771692</v>
      </c>
      <c r="J105">
        <f>ACOS((C103*C107+D103*D107+E103*E107)/(SQRT(C103^2+D103^2+E103^2)*SQRT(C107^2+D107^2+E107^2)))</f>
        <v>1.3117473209476436</v>
      </c>
      <c r="K105">
        <f>DEGREES(J105)</f>
        <v>75.157585277892622</v>
      </c>
      <c r="L105" t="s">
        <v>253</v>
      </c>
    </row>
    <row r="106" spans="1:12" x14ac:dyDescent="0.25">
      <c r="B106" s="7" t="str">
        <f t="shared" si="17"/>
        <v>P6*</v>
      </c>
      <c r="C106">
        <f t="shared" si="20"/>
        <v>7.4982297492751549E-7</v>
      </c>
      <c r="D106">
        <f t="shared" si="20"/>
        <v>0.10633025254037842</v>
      </c>
      <c r="E106">
        <f t="shared" si="20"/>
        <v>-0.83561398292337485</v>
      </c>
      <c r="G106" s="6" t="s">
        <v>142</v>
      </c>
      <c r="H106">
        <f t="shared" si="19"/>
        <v>0.8423519757577167</v>
      </c>
      <c r="J106">
        <f>ACOS((C108*C107+D108*D107+E108*E107)/(SQRT(C108^2+D108^2+E108^2)*SQRT(C107^2+D107^2+E107^2)))</f>
        <v>1.1355178738942133</v>
      </c>
      <c r="K106">
        <f>DEGREES(J106)</f>
        <v>65.060381735806871</v>
      </c>
      <c r="L106" t="s">
        <v>151</v>
      </c>
    </row>
    <row r="107" spans="1:12" x14ac:dyDescent="0.25">
      <c r="B107" s="7" t="str">
        <f t="shared" si="17"/>
        <v>P7*</v>
      </c>
      <c r="C107">
        <f t="shared" ref="C107:E108" si="21">(C94*$C$97)/(($C$97+$C$98)/2)</f>
        <v>-0.62252445297421688</v>
      </c>
      <c r="D107">
        <f t="shared" si="21"/>
        <v>-0.88500693816516829</v>
      </c>
      <c r="E107">
        <f t="shared" si="21"/>
        <v>-0.41155190788128804</v>
      </c>
      <c r="G107" s="6" t="s">
        <v>143</v>
      </c>
      <c r="H107">
        <f t="shared" si="19"/>
        <v>1.1576480242422833</v>
      </c>
      <c r="J107">
        <f>ACOS((C104*C108+D104*D108+E104*E108)/(SQRT(C104^2+D104^2+E104^2)*SQRT(C108^2+D108^2+E108^2)))</f>
        <v>1.3117473209476436</v>
      </c>
      <c r="K107">
        <f>DEGREES(J107)</f>
        <v>75.157585277892622</v>
      </c>
      <c r="L107" t="s">
        <v>254</v>
      </c>
    </row>
    <row r="108" spans="1:12" x14ac:dyDescent="0.25">
      <c r="B108" s="7" t="str">
        <f t="shared" si="17"/>
        <v>P8*</v>
      </c>
      <c r="C108">
        <f t="shared" si="21"/>
        <v>0.62251197107351575</v>
      </c>
      <c r="D108">
        <f t="shared" si="21"/>
        <v>-0.88501571795166434</v>
      </c>
      <c r="E108">
        <f t="shared" si="21"/>
        <v>-0.41155190788128804</v>
      </c>
      <c r="G108" s="6" t="s">
        <v>144</v>
      </c>
      <c r="H108">
        <f t="shared" si="19"/>
        <v>1.1576480242422831</v>
      </c>
    </row>
    <row r="109" spans="1:12" x14ac:dyDescent="0.25">
      <c r="B109" s="7"/>
      <c r="G109" s="6"/>
    </row>
    <row r="110" spans="1:12" x14ac:dyDescent="0.25">
      <c r="A110" s="12" t="s">
        <v>86</v>
      </c>
      <c r="B110" s="7" t="s">
        <v>73</v>
      </c>
      <c r="C110">
        <f t="shared" ref="C110:E117" si="22">C101-C62</f>
        <v>4.3898978963323597E-6</v>
      </c>
      <c r="D110">
        <f t="shared" si="22"/>
        <v>6.591635961505915E-7</v>
      </c>
      <c r="E110">
        <f t="shared" si="22"/>
        <v>-4.2043217451936954E-7</v>
      </c>
      <c r="G110" s="6" t="s">
        <v>78</v>
      </c>
      <c r="H110">
        <f t="shared" ref="H110:H117" si="23">SQRT(POWER(C110,2)+POWER(D110,2)+POWER(E110,2))</f>
        <v>4.458975599853014E-6</v>
      </c>
    </row>
    <row r="111" spans="1:12" x14ac:dyDescent="0.25">
      <c r="B111" s="7" t="s">
        <v>74</v>
      </c>
      <c r="C111">
        <f t="shared" si="22"/>
        <v>8.0920028043352313E-6</v>
      </c>
      <c r="D111">
        <f t="shared" si="22"/>
        <v>1.7700219969532365</v>
      </c>
      <c r="E111">
        <f t="shared" si="22"/>
        <v>-1.1289408695457892</v>
      </c>
      <c r="G111" s="6" t="s">
        <v>78</v>
      </c>
      <c r="H111">
        <f t="shared" si="23"/>
        <v>2.0994011900288627</v>
      </c>
    </row>
    <row r="112" spans="1:12" x14ac:dyDescent="0.25">
      <c r="B112" s="7" t="s">
        <v>75</v>
      </c>
      <c r="C112">
        <f t="shared" si="22"/>
        <v>-1.6050601661767481</v>
      </c>
      <c r="D112">
        <f t="shared" si="22"/>
        <v>0.23207242700800076</v>
      </c>
      <c r="E112">
        <f t="shared" si="22"/>
        <v>-0.14801491674583855</v>
      </c>
      <c r="G112" s="6" t="s">
        <v>78</v>
      </c>
      <c r="H112">
        <f t="shared" si="23"/>
        <v>1.6284913767054436</v>
      </c>
    </row>
    <row r="113" spans="1:12" x14ac:dyDescent="0.25">
      <c r="B113" s="7" t="s">
        <v>76</v>
      </c>
      <c r="C113">
        <f t="shared" si="22"/>
        <v>1.6050634391680179</v>
      </c>
      <c r="D113">
        <f t="shared" si="22"/>
        <v>0.23206110838336572</v>
      </c>
      <c r="E113">
        <f t="shared" si="22"/>
        <v>-0.14801491674583866</v>
      </c>
      <c r="G113" s="6" t="s">
        <v>78</v>
      </c>
      <c r="H113">
        <f t="shared" si="23"/>
        <v>1.6284929896555462</v>
      </c>
    </row>
    <row r="114" spans="1:12" x14ac:dyDescent="0.25">
      <c r="B114" s="7" t="s">
        <v>77</v>
      </c>
      <c r="C114">
        <f t="shared" si="22"/>
        <v>-4.0228142446715771E-6</v>
      </c>
      <c r="D114">
        <f t="shared" si="22"/>
        <v>-1.3729946892779135</v>
      </c>
      <c r="E114">
        <f t="shared" si="22"/>
        <v>0.87571217818438063</v>
      </c>
      <c r="G114" s="6" t="s">
        <v>78</v>
      </c>
      <c r="H114">
        <f t="shared" si="23"/>
        <v>1.6284920128210547</v>
      </c>
    </row>
    <row r="115" spans="1:12" x14ac:dyDescent="0.25">
      <c r="B115" s="7" t="s">
        <v>103</v>
      </c>
      <c r="C115">
        <f t="shared" si="22"/>
        <v>7.4982297499235417E-7</v>
      </c>
      <c r="D115">
        <f t="shared" si="22"/>
        <v>0.90886115388654698</v>
      </c>
      <c r="E115">
        <f t="shared" si="22"/>
        <v>-0.57968234469270352</v>
      </c>
      <c r="G115" s="6" t="s">
        <v>78</v>
      </c>
      <c r="H115">
        <f t="shared" si="23"/>
        <v>1.0779889692352971</v>
      </c>
    </row>
    <row r="116" spans="1:12" x14ac:dyDescent="0.25">
      <c r="B116" s="7" t="s">
        <v>170</v>
      </c>
      <c r="C116">
        <f t="shared" si="22"/>
        <v>-1.2450426650135615</v>
      </c>
      <c r="D116">
        <f t="shared" si="22"/>
        <v>-0.88500693816516818</v>
      </c>
      <c r="E116">
        <f t="shared" si="22"/>
        <v>0.56447064498898203</v>
      </c>
      <c r="G116" s="6" t="s">
        <v>78</v>
      </c>
      <c r="H116">
        <f t="shared" si="23"/>
        <v>1.6284948963256947</v>
      </c>
    </row>
    <row r="117" spans="1:12" x14ac:dyDescent="0.25">
      <c r="B117" s="7" t="s">
        <v>171</v>
      </c>
      <c r="C117">
        <f t="shared" si="22"/>
        <v>1.2450301831128603</v>
      </c>
      <c r="D117">
        <f t="shared" si="22"/>
        <v>-0.88501571795166423</v>
      </c>
      <c r="E117">
        <f t="shared" si="22"/>
        <v>0.56447064498898203</v>
      </c>
      <c r="G117" s="6" t="s">
        <v>78</v>
      </c>
      <c r="H117">
        <f t="shared" si="23"/>
        <v>1.6284901249125889</v>
      </c>
    </row>
    <row r="119" spans="1:12" x14ac:dyDescent="0.25">
      <c r="A119" s="67" t="s">
        <v>162</v>
      </c>
      <c r="C119">
        <f>(C88^2)*(1-COS($I$26))+COS($I$26)</f>
        <v>-0.99999999997123989</v>
      </c>
      <c r="D119">
        <f>C88*D88*(1-COS($I$26))-E88*SIN($I$26)</f>
        <v>4.0555714192327371E-6</v>
      </c>
      <c r="E119">
        <f>C88*E88*(1-COS($I$26))+D88*SIN($I$26)</f>
        <v>6.4087952955793959E-6</v>
      </c>
    </row>
    <row r="120" spans="1:12" x14ac:dyDescent="0.25">
      <c r="A120" s="68"/>
      <c r="B120" t="s">
        <v>237</v>
      </c>
      <c r="C120">
        <f>D88*C88*(1-COS($I$26))+E88*SIN($I$26)</f>
        <v>4.1011167972372508E-6</v>
      </c>
      <c r="D120">
        <f>(D88^2)*(1-COS($I$26))+COS($I$26)</f>
        <v>-0.42166168085592171</v>
      </c>
      <c r="E120">
        <f>D88*E88*(1-COS($I$26))-C88*SIN($I$26)</f>
        <v>0.90675323373062178</v>
      </c>
    </row>
    <row r="121" spans="1:12" x14ac:dyDescent="0.25">
      <c r="C121">
        <f>E88*C88*(1-COS($I$26))-D88*SIN($I$26)</f>
        <v>6.3797458956103027E-6</v>
      </c>
      <c r="D121">
        <f>D88*E88*(1-COS($I$26))+C88*SIN($I$26)</f>
        <v>0.90675323373082672</v>
      </c>
      <c r="E121">
        <f>(E88^2)*(1-COS($I$26))+COS($I$26)</f>
        <v>0.42166168082716238</v>
      </c>
    </row>
    <row r="122" spans="1:12" x14ac:dyDescent="0.25">
      <c r="J122" t="s">
        <v>87</v>
      </c>
      <c r="K122" t="s">
        <v>88</v>
      </c>
    </row>
    <row r="123" spans="1:12" x14ac:dyDescent="0.25">
      <c r="A123" s="19" t="s">
        <v>238</v>
      </c>
      <c r="B123" t="str">
        <f t="shared" ref="B123:B130" si="24">B88</f>
        <v>P1*</v>
      </c>
      <c r="C123">
        <f>C101*$C$119+D101*$D$119+E101*$E$119</f>
        <v>4.389897896430281E-6</v>
      </c>
      <c r="D123">
        <f>C101*$C$120+D101*$D$120+E101*$E$120</f>
        <v>0.6225188712029408</v>
      </c>
      <c r="E123">
        <f>C101*$C$121+D101*$D$121+E101*$E$121</f>
        <v>0.97602213243809577</v>
      </c>
      <c r="G123" t="str">
        <f>G88</f>
        <v>length of vector P1*</v>
      </c>
      <c r="H123">
        <f>SQRT(POWER(C123,2)+POWER(D123,2)+POWER(E123,2))</f>
        <v>1.1576480242422835</v>
      </c>
      <c r="J123">
        <f t="shared" ref="J123:J130" si="25">ACOS((C123*C124+D123*D124+E123*E124)/(SQRT(C123^2+D123^2+E123^2)*SQRT(C124^2+D124^2+E124^2)))</f>
        <v>1.1355178738942133</v>
      </c>
      <c r="K123">
        <f t="shared" ref="K123:K130" si="26">DEGREES(J123)</f>
        <v>65.060381735806871</v>
      </c>
      <c r="L123" t="str">
        <f t="shared" ref="L123:L130" si="27">L88</f>
        <v>P5 P1</v>
      </c>
    </row>
    <row r="124" spans="1:12" x14ac:dyDescent="0.25">
      <c r="B124" t="str">
        <f t="shared" si="24"/>
        <v>P2*</v>
      </c>
      <c r="C124">
        <f t="shared" ref="C124:C130" si="28">C102*$C$119+D102*$D$119+E102*$E$119</f>
        <v>-4.4182414390839769E-6</v>
      </c>
      <c r="D124">
        <f t="shared" ref="D124:D130" si="29">C102*$C$120+D102*$D$120+E102*$E$120</f>
        <v>-0.62251755284430776</v>
      </c>
      <c r="E124">
        <f t="shared" ref="E124:E130" si="30">C102*$C$121+D102*$D$121+E102*$E$121</f>
        <v>0.97602297330199961</v>
      </c>
      <c r="G124" s="6" t="s">
        <v>67</v>
      </c>
      <c r="H124">
        <f>SQRT(POWER(C124,2)+POWER(D124,2)+POWER(E124,2))</f>
        <v>1.1576480242422833</v>
      </c>
      <c r="J124">
        <f t="shared" si="25"/>
        <v>1.3117473209476431</v>
      </c>
      <c r="K124">
        <f t="shared" si="26"/>
        <v>75.157585277892593</v>
      </c>
      <c r="L124" t="str">
        <f t="shared" si="27"/>
        <v>P1 P2</v>
      </c>
    </row>
    <row r="125" spans="1:12" x14ac:dyDescent="0.25">
      <c r="B125" t="str">
        <f t="shared" si="24"/>
        <v>P3*</v>
      </c>
      <c r="C125">
        <f t="shared" si="28"/>
        <v>0.80253089760997776</v>
      </c>
      <c r="D125">
        <f t="shared" si="29"/>
        <v>-5.5047387760298605E-6</v>
      </c>
      <c r="E125">
        <f t="shared" si="30"/>
        <v>0.25593164988713391</v>
      </c>
      <c r="G125" s="6" t="s">
        <v>68</v>
      </c>
      <c r="H125">
        <f t="shared" ref="H125:H130" si="31">SQRT(POWER(C125,2)+POWER(D125,2)+POWER(E125,2))</f>
        <v>0.84235197575771681</v>
      </c>
      <c r="J125">
        <f t="shared" si="25"/>
        <v>2.524172791390086</v>
      </c>
      <c r="K125">
        <f t="shared" si="26"/>
        <v>144.6244477084079</v>
      </c>
      <c r="L125" t="str">
        <f t="shared" si="27"/>
        <v>P2 P6</v>
      </c>
    </row>
    <row r="126" spans="1:12" x14ac:dyDescent="0.25">
      <c r="B126" t="str">
        <f t="shared" si="24"/>
        <v>P4*</v>
      </c>
      <c r="C126">
        <f t="shared" si="28"/>
        <v>-0.80253090504219271</v>
      </c>
      <c r="D126">
        <f t="shared" si="29"/>
        <v>5.8504374319257035E-6</v>
      </c>
      <c r="E126">
        <f t="shared" si="30"/>
        <v>0.2559316265740923</v>
      </c>
      <c r="G126" s="6" t="s">
        <v>69</v>
      </c>
      <c r="H126">
        <f t="shared" si="31"/>
        <v>0.84235197575771681</v>
      </c>
      <c r="J126">
        <f t="shared" si="25"/>
        <v>1.6632404923045596</v>
      </c>
      <c r="K126">
        <f t="shared" si="26"/>
        <v>95.296660524312543</v>
      </c>
      <c r="L126">
        <f t="shared" si="27"/>
        <v>0</v>
      </c>
    </row>
    <row r="127" spans="1:12" ht="15" customHeight="1" x14ac:dyDescent="0.25">
      <c r="B127" t="str">
        <f t="shared" si="24"/>
        <v>P5*</v>
      </c>
      <c r="C127">
        <f t="shared" si="28"/>
        <v>5.6813042192261573E-6</v>
      </c>
      <c r="D127">
        <f t="shared" si="29"/>
        <v>0.80253072847657436</v>
      </c>
      <c r="E127">
        <f t="shared" si="30"/>
        <v>-0.25593218023826347</v>
      </c>
      <c r="G127" s="6" t="s">
        <v>70</v>
      </c>
      <c r="H127">
        <f t="shared" si="31"/>
        <v>0.84235197575771692</v>
      </c>
      <c r="J127">
        <f t="shared" si="25"/>
        <v>2.5241727913900855</v>
      </c>
      <c r="K127">
        <f t="shared" si="26"/>
        <v>144.62444770840787</v>
      </c>
      <c r="L127" t="str">
        <f t="shared" si="27"/>
        <v>P3 P7</v>
      </c>
    </row>
    <row r="128" spans="1:12" ht="15" customHeight="1" x14ac:dyDescent="0.25">
      <c r="B128" t="str">
        <f t="shared" si="24"/>
        <v>P6*</v>
      </c>
      <c r="C128">
        <f t="shared" si="28"/>
        <v>-5.6738720043830788E-6</v>
      </c>
      <c r="D128">
        <f t="shared" si="29"/>
        <v>-0.80253107417523017</v>
      </c>
      <c r="E128">
        <f t="shared" si="30"/>
        <v>-0.25593109622296273</v>
      </c>
      <c r="F128" s="7"/>
      <c r="G128" s="7" t="str">
        <f>G93</f>
        <v>length of vector P6*</v>
      </c>
      <c r="H128">
        <f t="shared" si="31"/>
        <v>0.84235197575771681</v>
      </c>
      <c r="J128">
        <f t="shared" si="25"/>
        <v>1.3117473209476436</v>
      </c>
      <c r="K128">
        <f t="shared" si="26"/>
        <v>75.157585277892622</v>
      </c>
      <c r="L128" t="str">
        <f t="shared" si="27"/>
        <v>P7 P8</v>
      </c>
    </row>
    <row r="129" spans="1:12" ht="15" customHeight="1" x14ac:dyDescent="0.25">
      <c r="B129" t="str">
        <f t="shared" si="24"/>
        <v>P7*</v>
      </c>
      <c r="C129">
        <f t="shared" si="28"/>
        <v>0.62251822619553765</v>
      </c>
      <c r="D129">
        <f t="shared" si="29"/>
        <v>-5.063248978032231E-6</v>
      </c>
      <c r="E129">
        <f t="shared" si="30"/>
        <v>-0.97602254382815745</v>
      </c>
      <c r="F129" s="7"/>
      <c r="G129" s="7" t="str">
        <f>G94</f>
        <v>length of vector P7*</v>
      </c>
      <c r="H129">
        <f t="shared" si="31"/>
        <v>1.1576480242422835</v>
      </c>
      <c r="J129">
        <f t="shared" si="25"/>
        <v>1.1355178738942131</v>
      </c>
      <c r="K129">
        <f t="shared" si="26"/>
        <v>65.060381735806857</v>
      </c>
      <c r="L129" t="str">
        <f t="shared" si="27"/>
        <v>P8 P4</v>
      </c>
    </row>
    <row r="130" spans="1:12" ht="15" customHeight="1" x14ac:dyDescent="0.25">
      <c r="B130" t="str">
        <f t="shared" si="24"/>
        <v>P8*</v>
      </c>
      <c r="C130">
        <f t="shared" si="28"/>
        <v>-0.62251819785199469</v>
      </c>
      <c r="D130">
        <f t="shared" si="29"/>
        <v>3.7448903452697024E-6</v>
      </c>
      <c r="E130">
        <f t="shared" si="30"/>
        <v>-0.97602256191193792</v>
      </c>
      <c r="F130" s="7"/>
      <c r="G130" s="7" t="str">
        <f>G95</f>
        <v>length of vector P8*</v>
      </c>
      <c r="H130">
        <f t="shared" si="31"/>
        <v>1.1576480242422833</v>
      </c>
      <c r="J130" t="e">
        <f t="shared" si="25"/>
        <v>#DIV/0!</v>
      </c>
      <c r="K130" t="e">
        <f t="shared" si="26"/>
        <v>#DIV/0!</v>
      </c>
      <c r="L130">
        <f t="shared" si="27"/>
        <v>0</v>
      </c>
    </row>
    <row r="131" spans="1:12" x14ac:dyDescent="0.25">
      <c r="B131" s="7"/>
      <c r="C131" s="7"/>
      <c r="D131" s="7"/>
      <c r="E131" s="7"/>
      <c r="G131" s="6"/>
    </row>
    <row r="132" spans="1:12" x14ac:dyDescent="0.25">
      <c r="A132" s="12" t="s">
        <v>86</v>
      </c>
      <c r="B132" t="str">
        <f t="shared" ref="B132:B137" si="32">B110</f>
        <v>P1*-P1</v>
      </c>
      <c r="C132">
        <f t="shared" ref="C132:E139" si="33">C123-C62</f>
        <v>4.3898978963323589E-6</v>
      </c>
      <c r="D132">
        <f t="shared" si="33"/>
        <v>6.591635961505915E-7</v>
      </c>
      <c r="E132">
        <f t="shared" si="33"/>
        <v>-4.2043217429732493E-7</v>
      </c>
      <c r="G132" s="6" t="s">
        <v>78</v>
      </c>
      <c r="H132">
        <f t="shared" ref="H132:H137" si="34">SQRT(POWER(C132,2)+POWER(D132,2)+POWER(E132,2))</f>
        <v>4.458975599832077E-6</v>
      </c>
    </row>
    <row r="133" spans="1:12" x14ac:dyDescent="0.25">
      <c r="B133" t="str">
        <f t="shared" si="32"/>
        <v>P2*-P2</v>
      </c>
      <c r="C133">
        <f t="shared" si="33"/>
        <v>-4.4182414391056313E-6</v>
      </c>
      <c r="D133">
        <f t="shared" si="33"/>
        <v>6.5919503688949277E-7</v>
      </c>
      <c r="E133">
        <f t="shared" si="33"/>
        <v>4.2043172954198127E-7</v>
      </c>
      <c r="G133" s="6" t="s">
        <v>78</v>
      </c>
      <c r="H133">
        <f t="shared" si="34"/>
        <v>4.4868873788067827E-6</v>
      </c>
    </row>
    <row r="134" spans="1:12" x14ac:dyDescent="0.25">
      <c r="B134" t="str">
        <f t="shared" si="32"/>
        <v>P3*-P3</v>
      </c>
      <c r="C134">
        <f t="shared" si="33"/>
        <v>-3.7361908011845912E-9</v>
      </c>
      <c r="D134">
        <f t="shared" si="33"/>
        <v>-5.5047387760432072E-6</v>
      </c>
      <c r="E134">
        <f t="shared" si="33"/>
        <v>1.1656462517439792E-8</v>
      </c>
      <c r="G134" s="6" t="s">
        <v>78</v>
      </c>
      <c r="H134">
        <f t="shared" si="34"/>
        <v>5.5047523854133341E-6</v>
      </c>
    </row>
    <row r="135" spans="1:12" x14ac:dyDescent="0.25">
      <c r="B135" t="str">
        <f t="shared" si="32"/>
        <v>P4*-P4</v>
      </c>
      <c r="C135">
        <f t="shared" si="33"/>
        <v>-3.6960241533989802E-9</v>
      </c>
      <c r="D135">
        <f t="shared" si="33"/>
        <v>5.8504374319123568E-6</v>
      </c>
      <c r="E135">
        <f t="shared" si="33"/>
        <v>-1.1656579090857377E-8</v>
      </c>
      <c r="G135" s="6" t="s">
        <v>78</v>
      </c>
      <c r="H135">
        <f t="shared" si="34"/>
        <v>5.8504502118342902E-6</v>
      </c>
    </row>
    <row r="136" spans="1:12" x14ac:dyDescent="0.25">
      <c r="B136" t="str">
        <f t="shared" si="32"/>
        <v>P5*-P5</v>
      </c>
      <c r="C136">
        <f t="shared" si="33"/>
        <v>5.681304219192674E-6</v>
      </c>
      <c r="D136">
        <f t="shared" si="33"/>
        <v>-1.7286959419493542E-7</v>
      </c>
      <c r="E136">
        <f t="shared" si="33"/>
        <v>-5.4200759208589133E-7</v>
      </c>
      <c r="G136" s="6" t="s">
        <v>78</v>
      </c>
      <c r="H136">
        <f t="shared" si="34"/>
        <v>5.7097174849104707E-6</v>
      </c>
    </row>
    <row r="137" spans="1:12" x14ac:dyDescent="0.25">
      <c r="B137" t="str">
        <f t="shared" si="32"/>
        <v>P6*-P6</v>
      </c>
      <c r="C137">
        <f t="shared" si="33"/>
        <v>-5.6738720043182401E-6</v>
      </c>
      <c r="D137">
        <f t="shared" si="33"/>
        <v>-1.7282906161764089E-7</v>
      </c>
      <c r="E137">
        <f t="shared" si="33"/>
        <v>5.4200770865930892E-7</v>
      </c>
      <c r="G137" s="6" t="s">
        <v>78</v>
      </c>
      <c r="H137">
        <f t="shared" si="34"/>
        <v>5.7023210855029933E-6</v>
      </c>
    </row>
    <row r="138" spans="1:12" x14ac:dyDescent="0.25">
      <c r="B138" t="str">
        <f>B116</f>
        <v>P7*-P7</v>
      </c>
      <c r="C138">
        <f t="shared" si="33"/>
        <v>1.4156192995606887E-8</v>
      </c>
      <c r="D138">
        <f t="shared" si="33"/>
        <v>-5.0632489779701112E-6</v>
      </c>
      <c r="E138">
        <f t="shared" si="33"/>
        <v>9.0421126142103958E-9</v>
      </c>
      <c r="G138" s="6" t="s">
        <v>78</v>
      </c>
      <c r="H138">
        <f>SQRT(POWER(C138,2)+POWER(D138,2)+POWER(E138,2))</f>
        <v>5.0632768411885237E-6</v>
      </c>
    </row>
    <row r="139" spans="1:12" x14ac:dyDescent="0.25">
      <c r="B139" t="str">
        <f>B117</f>
        <v>P8*-P8</v>
      </c>
      <c r="C139">
        <f t="shared" si="33"/>
        <v>1.418734996150306E-8</v>
      </c>
      <c r="D139">
        <f t="shared" si="33"/>
        <v>3.7448903453318221E-6</v>
      </c>
      <c r="E139">
        <f t="shared" si="33"/>
        <v>-9.041667858866731E-9</v>
      </c>
      <c r="G139" s="6" t="s">
        <v>78</v>
      </c>
      <c r="H139">
        <f>SQRT(POWER(C139,2)+POWER(D139,2)+POWER(E139,2))</f>
        <v>3.7449281343192816E-6</v>
      </c>
    </row>
    <row r="140" spans="1:12" x14ac:dyDescent="0.25">
      <c r="B140" s="7"/>
      <c r="G140" s="6"/>
    </row>
    <row r="141" spans="1:12" x14ac:dyDescent="0.25">
      <c r="A141" s="19" t="s">
        <v>316</v>
      </c>
      <c r="B141" s="7" t="s">
        <v>204</v>
      </c>
      <c r="C141">
        <v>0</v>
      </c>
      <c r="D141">
        <v>0</v>
      </c>
      <c r="E141">
        <v>0</v>
      </c>
    </row>
    <row r="142" spans="1:12" x14ac:dyDescent="0.25">
      <c r="B142" t="str">
        <f t="shared" ref="B142:B149" si="35">B123</f>
        <v>P1*</v>
      </c>
      <c r="C142">
        <f t="shared" ref="C142:E148" si="36">C123*$K$53</f>
        <v>7.0518385029237166E-6</v>
      </c>
      <c r="D142">
        <f t="shared" si="36"/>
        <v>1.0000010588663646</v>
      </c>
      <c r="E142">
        <f t="shared" si="36"/>
        <v>1.5678611702630938</v>
      </c>
    </row>
    <row r="143" spans="1:12" x14ac:dyDescent="0.25">
      <c r="B143" t="str">
        <f t="shared" si="35"/>
        <v>P2*</v>
      </c>
      <c r="C143">
        <f t="shared" si="36"/>
        <v>-7.097368966298986E-6</v>
      </c>
      <c r="D143">
        <f t="shared" si="36"/>
        <v>-0.99999894108312948</v>
      </c>
      <c r="E143">
        <f t="shared" si="36"/>
        <v>1.5678625210089638</v>
      </c>
    </row>
    <row r="144" spans="1:12" x14ac:dyDescent="0.25">
      <c r="B144" t="str">
        <f t="shared" si="35"/>
        <v>P3*</v>
      </c>
      <c r="C144">
        <f t="shared" si="36"/>
        <v>1.2891685449344827</v>
      </c>
      <c r="D144">
        <f t="shared" si="36"/>
        <v>-8.8426951526390798E-6</v>
      </c>
      <c r="E144">
        <f t="shared" si="36"/>
        <v>0.41112315260418181</v>
      </c>
    </row>
    <row r="145" spans="1:5" x14ac:dyDescent="0.25">
      <c r="B145" t="str">
        <f t="shared" si="35"/>
        <v>P4*</v>
      </c>
      <c r="C145">
        <f t="shared" si="36"/>
        <v>-1.2891685568734346</v>
      </c>
      <c r="D145">
        <f t="shared" si="36"/>
        <v>9.3980181122089665E-6</v>
      </c>
      <c r="E145">
        <f t="shared" si="36"/>
        <v>0.4111231151546082</v>
      </c>
    </row>
    <row r="146" spans="1:5" x14ac:dyDescent="0.25">
      <c r="B146" t="str">
        <f t="shared" si="35"/>
        <v>P5*</v>
      </c>
      <c r="C146">
        <f t="shared" si="36"/>
        <v>9.1263261208285491E-6</v>
      </c>
      <c r="D146">
        <f t="shared" si="36"/>
        <v>1.289168273242185</v>
      </c>
      <c r="E146">
        <f t="shared" si="36"/>
        <v>-0.4111240045489431</v>
      </c>
    </row>
    <row r="147" spans="1:5" x14ac:dyDescent="0.25">
      <c r="B147" t="str">
        <f t="shared" si="35"/>
        <v>P6*</v>
      </c>
      <c r="C147">
        <f t="shared" si="36"/>
        <v>-9.1143871691652221E-6</v>
      </c>
      <c r="D147">
        <f t="shared" si="36"/>
        <v>-1.2891688285651444</v>
      </c>
      <c r="E147">
        <f t="shared" si="36"/>
        <v>-0.41112226320984685</v>
      </c>
    </row>
    <row r="148" spans="1:5" x14ac:dyDescent="0.25">
      <c r="B148" t="str">
        <f t="shared" si="35"/>
        <v>P7*</v>
      </c>
      <c r="C148">
        <f>C129*$K$53</f>
        <v>1.0000000227402071</v>
      </c>
      <c r="D148">
        <f t="shared" si="36"/>
        <v>-8.1334953421607232E-6</v>
      </c>
      <c r="E148">
        <f t="shared" si="36"/>
        <v>-1.5678618311113288</v>
      </c>
    </row>
    <row r="149" spans="1:5" x14ac:dyDescent="0.25">
      <c r="B149" t="str">
        <f t="shared" si="35"/>
        <v>P8*</v>
      </c>
      <c r="C149">
        <f>C130*$K$53</f>
        <v>-0.9999999772097431</v>
      </c>
      <c r="D149">
        <f>D130*$K$53</f>
        <v>6.0157121074443618E-6</v>
      </c>
      <c r="E149">
        <f>E130*$K$53</f>
        <v>-1.5678618601607288</v>
      </c>
    </row>
    <row r="151" spans="1:5" x14ac:dyDescent="0.25">
      <c r="A151" s="19" t="s">
        <v>317</v>
      </c>
      <c r="B151" t="s">
        <v>204</v>
      </c>
      <c r="C151">
        <f>C141+$C$49</f>
        <v>0</v>
      </c>
      <c r="D151">
        <f>D141+$D$49</f>
        <v>3.7447816444839679E-18</v>
      </c>
      <c r="E151">
        <f>E141+$E$49</f>
        <v>0</v>
      </c>
    </row>
    <row r="152" spans="1:5" x14ac:dyDescent="0.25">
      <c r="B152" t="str">
        <f t="shared" ref="B152:B159" si="37">B142</f>
        <v>P1*</v>
      </c>
      <c r="C152">
        <f t="shared" ref="C152:C159" si="38">C142+$C$49</f>
        <v>7.0518385029237166E-6</v>
      </c>
      <c r="D152">
        <f t="shared" ref="D152:D159" si="39">D142+$D$49</f>
        <v>1.0000010588663646</v>
      </c>
      <c r="E152">
        <f t="shared" ref="E152:E159" si="40">E142+$E$49</f>
        <v>1.5678611702630938</v>
      </c>
    </row>
    <row r="153" spans="1:5" x14ac:dyDescent="0.25">
      <c r="B153" t="str">
        <f t="shared" si="37"/>
        <v>P2*</v>
      </c>
      <c r="C153">
        <f t="shared" si="38"/>
        <v>-7.097368966298986E-6</v>
      </c>
      <c r="D153">
        <f t="shared" si="39"/>
        <v>-0.99999894108312948</v>
      </c>
      <c r="E153">
        <f t="shared" si="40"/>
        <v>1.5678625210089638</v>
      </c>
    </row>
    <row r="154" spans="1:5" x14ac:dyDescent="0.25">
      <c r="B154" t="str">
        <f t="shared" si="37"/>
        <v>P3*</v>
      </c>
      <c r="C154">
        <f t="shared" si="38"/>
        <v>1.2891685449344827</v>
      </c>
      <c r="D154">
        <f t="shared" si="39"/>
        <v>-8.8426951526353343E-6</v>
      </c>
      <c r="E154">
        <f t="shared" si="40"/>
        <v>0.41112315260418181</v>
      </c>
    </row>
    <row r="155" spans="1:5" x14ac:dyDescent="0.25">
      <c r="B155" t="str">
        <f t="shared" si="37"/>
        <v>P4*</v>
      </c>
      <c r="C155">
        <f t="shared" si="38"/>
        <v>-1.2891685568734346</v>
      </c>
      <c r="D155">
        <f t="shared" si="39"/>
        <v>9.3980181122127121E-6</v>
      </c>
      <c r="E155">
        <f t="shared" si="40"/>
        <v>0.4111231151546082</v>
      </c>
    </row>
    <row r="156" spans="1:5" x14ac:dyDescent="0.25">
      <c r="B156" t="str">
        <f t="shared" si="37"/>
        <v>P5*</v>
      </c>
      <c r="C156">
        <f t="shared" si="38"/>
        <v>9.1263261208285491E-6</v>
      </c>
      <c r="D156">
        <f t="shared" si="39"/>
        <v>1.289168273242185</v>
      </c>
      <c r="E156">
        <f t="shared" si="40"/>
        <v>-0.4111240045489431</v>
      </c>
    </row>
    <row r="157" spans="1:5" x14ac:dyDescent="0.25">
      <c r="B157" t="str">
        <f t="shared" si="37"/>
        <v>P6*</v>
      </c>
      <c r="C157">
        <f t="shared" si="38"/>
        <v>-9.1143871691652221E-6</v>
      </c>
      <c r="D157">
        <f t="shared" si="39"/>
        <v>-1.2891688285651444</v>
      </c>
      <c r="E157">
        <f t="shared" si="40"/>
        <v>-0.41112226320984685</v>
      </c>
    </row>
    <row r="158" spans="1:5" x14ac:dyDescent="0.25">
      <c r="B158" t="str">
        <f t="shared" si="37"/>
        <v>P7*</v>
      </c>
      <c r="C158">
        <f t="shared" si="38"/>
        <v>1.0000000227402071</v>
      </c>
      <c r="D158">
        <f t="shared" si="39"/>
        <v>-8.1334953421569776E-6</v>
      </c>
      <c r="E158">
        <f t="shared" si="40"/>
        <v>-1.5678618311113288</v>
      </c>
    </row>
    <row r="159" spans="1:5" x14ac:dyDescent="0.25">
      <c r="B159" t="str">
        <f t="shared" si="37"/>
        <v>P8*</v>
      </c>
      <c r="C159">
        <f t="shared" si="38"/>
        <v>-0.9999999772097431</v>
      </c>
      <c r="D159">
        <f t="shared" si="39"/>
        <v>6.0157121074481065E-6</v>
      </c>
      <c r="E159">
        <f t="shared" si="40"/>
        <v>-1.5678618601607288</v>
      </c>
    </row>
  </sheetData>
  <mergeCells count="28">
    <mergeCell ref="B2:D2"/>
    <mergeCell ref="F3:G5"/>
    <mergeCell ref="E32:F32"/>
    <mergeCell ref="D21:F21"/>
    <mergeCell ref="E33:F33"/>
    <mergeCell ref="E8:H8"/>
    <mergeCell ref="B8:D8"/>
    <mergeCell ref="E29:F30"/>
    <mergeCell ref="A33:C34"/>
    <mergeCell ref="H29:J33"/>
    <mergeCell ref="D25:F25"/>
    <mergeCell ref="H21:J22"/>
    <mergeCell ref="E34:F34"/>
    <mergeCell ref="G71:H71"/>
    <mergeCell ref="A39:A40"/>
    <mergeCell ref="G43:H43"/>
    <mergeCell ref="G39:H39"/>
    <mergeCell ref="A101:A104"/>
    <mergeCell ref="A97:A98"/>
    <mergeCell ref="A83:A84"/>
    <mergeCell ref="A79:A80"/>
    <mergeCell ref="B79:B80"/>
    <mergeCell ref="A119:A120"/>
    <mergeCell ref="D73:E73"/>
    <mergeCell ref="A71:A72"/>
    <mergeCell ref="A87:A88"/>
    <mergeCell ref="D71:F71"/>
    <mergeCell ref="D72:F72"/>
  </mergeCells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9"/>
  <sheetViews>
    <sheetView topLeftCell="A12" workbookViewId="0">
      <selection activeCell="G84" sqref="G84"/>
    </sheetView>
  </sheetViews>
  <sheetFormatPr baseColWidth="10" defaultRowHeight="15" x14ac:dyDescent="0.25"/>
  <cols>
    <col min="1" max="1" width="26.7109375" customWidth="1"/>
    <col min="2" max="14" width="13.7109375" customWidth="1"/>
  </cols>
  <sheetData>
    <row r="1" spans="1:8" x14ac:dyDescent="0.25">
      <c r="A1" t="s">
        <v>0</v>
      </c>
    </row>
    <row r="2" spans="1:8" x14ac:dyDescent="0.25">
      <c r="A2" s="29"/>
      <c r="B2" s="69" t="s">
        <v>134</v>
      </c>
      <c r="C2" s="70"/>
      <c r="D2" s="70"/>
    </row>
    <row r="3" spans="1:8" ht="15" customHeight="1" x14ac:dyDescent="0.25">
      <c r="A3" t="s">
        <v>1</v>
      </c>
      <c r="F3" s="75" t="s">
        <v>315</v>
      </c>
      <c r="G3" s="76"/>
    </row>
    <row r="4" spans="1:8" x14ac:dyDescent="0.25">
      <c r="A4" t="s">
        <v>2</v>
      </c>
      <c r="B4" s="1">
        <v>1</v>
      </c>
      <c r="C4" s="43" t="s">
        <v>51</v>
      </c>
      <c r="D4" s="1">
        <v>90</v>
      </c>
      <c r="F4" s="76"/>
      <c r="G4" s="76"/>
    </row>
    <row r="5" spans="1:8" x14ac:dyDescent="0.25">
      <c r="A5" t="s">
        <v>3</v>
      </c>
      <c r="B5" s="1">
        <v>1</v>
      </c>
      <c r="C5" s="43" t="s">
        <v>52</v>
      </c>
      <c r="D5" s="1">
        <v>90</v>
      </c>
      <c r="F5" s="76"/>
      <c r="G5" s="76"/>
    </row>
    <row r="6" spans="1:8" x14ac:dyDescent="0.25">
      <c r="A6" t="s">
        <v>4</v>
      </c>
      <c r="B6" s="1">
        <v>1</v>
      </c>
      <c r="C6" s="43" t="s">
        <v>53</v>
      </c>
      <c r="D6" s="1">
        <v>90</v>
      </c>
    </row>
    <row r="8" spans="1:8" x14ac:dyDescent="0.25">
      <c r="B8" s="65" t="s">
        <v>285</v>
      </c>
      <c r="C8" s="65"/>
      <c r="D8" s="65"/>
      <c r="E8" s="77" t="s">
        <v>240</v>
      </c>
      <c r="F8" s="77"/>
      <c r="G8" s="77"/>
      <c r="H8" s="77"/>
    </row>
    <row r="9" spans="1:8" x14ac:dyDescent="0.25">
      <c r="A9" t="s">
        <v>5</v>
      </c>
      <c r="B9" s="41" t="s">
        <v>6</v>
      </c>
      <c r="C9" s="41" t="s">
        <v>7</v>
      </c>
      <c r="D9" s="41" t="s">
        <v>8</v>
      </c>
      <c r="E9" s="40"/>
      <c r="F9" s="40" t="s">
        <v>6</v>
      </c>
      <c r="G9" s="40" t="s">
        <v>7</v>
      </c>
      <c r="H9" s="40" t="s">
        <v>8</v>
      </c>
    </row>
    <row r="10" spans="1:8" x14ac:dyDescent="0.25">
      <c r="A10" t="s">
        <v>96</v>
      </c>
      <c r="B10" s="1">
        <v>0</v>
      </c>
      <c r="C10" s="1">
        <v>0</v>
      </c>
      <c r="D10" s="1">
        <v>0</v>
      </c>
      <c r="E10" s="14" t="s">
        <v>82</v>
      </c>
      <c r="F10" s="12">
        <f t="shared" ref="F10:F18" si="0">C151*$G$44+D151*$H$44+E151*$I$44</f>
        <v>-2.293956722854847E-34</v>
      </c>
      <c r="G10" s="12">
        <f t="shared" ref="G10:G18" si="1">C151*$G$45+D151*$H$45+E151*$I$45</f>
        <v>3.7447816444839679E-18</v>
      </c>
      <c r="H10" s="12">
        <f t="shared" ref="H10:H18" si="2">C151*$G$46+D151*$H$46+E151*$I$46</f>
        <v>0</v>
      </c>
    </row>
    <row r="11" spans="1:8" x14ac:dyDescent="0.25">
      <c r="A11" t="s">
        <v>9</v>
      </c>
      <c r="B11" s="1">
        <v>0</v>
      </c>
      <c r="C11" s="1">
        <v>1</v>
      </c>
      <c r="D11" s="1">
        <f>C71</f>
        <v>1.567861845636386</v>
      </c>
      <c r="E11" s="15" t="s">
        <v>58</v>
      </c>
      <c r="F11" s="28">
        <f t="shared" si="0"/>
        <v>1.319727716777121E-5</v>
      </c>
      <c r="G11" s="28">
        <f t="shared" si="1"/>
        <v>0.9999996452436285</v>
      </c>
      <c r="H11" s="28">
        <f t="shared" si="2"/>
        <v>1.5678598323989614</v>
      </c>
    </row>
    <row r="12" spans="1:8" x14ac:dyDescent="0.25">
      <c r="A12" t="s">
        <v>10</v>
      </c>
      <c r="B12" s="1">
        <v>0</v>
      </c>
      <c r="C12" s="1">
        <v>-1</v>
      </c>
      <c r="D12" s="1">
        <f>C71</f>
        <v>1.567861845636386</v>
      </c>
      <c r="E12" s="15" t="s">
        <v>59</v>
      </c>
      <c r="F12" s="28">
        <f t="shared" si="0"/>
        <v>-2.4948908466082112E-7</v>
      </c>
      <c r="G12" s="28">
        <f t="shared" si="1"/>
        <v>-0.99999832408436362</v>
      </c>
      <c r="H12" s="28">
        <f t="shared" si="2"/>
        <v>1.5678606751047917</v>
      </c>
    </row>
    <row r="13" spans="1:8" x14ac:dyDescent="0.25">
      <c r="A13" t="s">
        <v>11</v>
      </c>
      <c r="B13" s="22">
        <f>C73</f>
        <v>1.2891685509362201</v>
      </c>
      <c r="C13" s="23">
        <v>0</v>
      </c>
      <c r="D13" s="23">
        <f>C72</f>
        <v>0.41112313387948862</v>
      </c>
      <c r="E13" s="24" t="s">
        <v>60</v>
      </c>
      <c r="F13" s="27">
        <f t="shared" si="0"/>
        <v>1.2891720473188353</v>
      </c>
      <c r="G13" s="27">
        <f t="shared" si="1"/>
        <v>-8.4943802849507212E-6</v>
      </c>
      <c r="H13" s="27">
        <f t="shared" si="2"/>
        <v>0.41111838439203413</v>
      </c>
    </row>
    <row r="14" spans="1:8" x14ac:dyDescent="0.25">
      <c r="A14" t="s">
        <v>12</v>
      </c>
      <c r="B14" s="1">
        <f>-C73</f>
        <v>-1.2891685509362201</v>
      </c>
      <c r="C14" s="1">
        <v>0</v>
      </c>
      <c r="D14" s="1">
        <f>C72</f>
        <v>0.41112313387948862</v>
      </c>
      <c r="E14" s="15" t="s">
        <v>61</v>
      </c>
      <c r="F14" s="28">
        <f t="shared" si="0"/>
        <v>-1.2891686521548666</v>
      </c>
      <c r="G14" s="28">
        <f t="shared" si="1"/>
        <v>8.8408141547270207E-6</v>
      </c>
      <c r="H14" s="28">
        <f t="shared" si="2"/>
        <v>0.41112903068082129</v>
      </c>
    </row>
    <row r="15" spans="1:8" x14ac:dyDescent="0.25">
      <c r="A15" t="s">
        <v>13</v>
      </c>
      <c r="B15" s="1">
        <v>0</v>
      </c>
      <c r="C15" s="1">
        <f>C73</f>
        <v>1.2891685509362201</v>
      </c>
      <c r="D15" s="1">
        <f>-C72</f>
        <v>-0.41112313387948862</v>
      </c>
      <c r="E15" s="15" t="s">
        <v>62</v>
      </c>
      <c r="F15" s="28">
        <f t="shared" si="0"/>
        <v>6.970012992601389E-6</v>
      </c>
      <c r="G15" s="28">
        <f t="shared" si="1"/>
        <v>1.2891701765307912</v>
      </c>
      <c r="H15" s="28">
        <f t="shared" si="2"/>
        <v>-0.41112425073266429</v>
      </c>
    </row>
    <row r="16" spans="1:8" x14ac:dyDescent="0.25">
      <c r="A16" t="s">
        <v>98</v>
      </c>
      <c r="B16" s="23">
        <v>0</v>
      </c>
      <c r="C16" s="23">
        <f>-C73</f>
        <v>-1.2891685509362201</v>
      </c>
      <c r="D16" s="23">
        <f>-C72</f>
        <v>-0.41112313387948862</v>
      </c>
      <c r="E16" s="25" t="s">
        <v>99</v>
      </c>
      <c r="F16" s="27">
        <f t="shared" si="0"/>
        <v>-1.0365176961064832E-5</v>
      </c>
      <c r="G16" s="27">
        <f t="shared" si="1"/>
        <v>-1.2891705229646613</v>
      </c>
      <c r="H16" s="27">
        <f t="shared" si="2"/>
        <v>-0.41112316434019108</v>
      </c>
    </row>
    <row r="17" spans="1:12" x14ac:dyDescent="0.25">
      <c r="A17" t="s">
        <v>104</v>
      </c>
      <c r="B17" s="1">
        <v>1</v>
      </c>
      <c r="C17" s="1">
        <v>0</v>
      </c>
      <c r="D17" s="1">
        <f>-C71</f>
        <v>-1.567861845636386</v>
      </c>
      <c r="E17" s="16" t="s">
        <v>110</v>
      </c>
      <c r="F17" s="26">
        <f t="shared" si="0"/>
        <v>0.99999251076151907</v>
      </c>
      <c r="G17" s="26">
        <f t="shared" si="1"/>
        <v>-7.3839644981800628E-6</v>
      </c>
      <c r="H17" s="26">
        <f t="shared" si="2"/>
        <v>-1.5678643828718102</v>
      </c>
    </row>
    <row r="18" spans="1:12" x14ac:dyDescent="0.25">
      <c r="A18" t="s">
        <v>105</v>
      </c>
      <c r="B18" s="1">
        <v>-1</v>
      </c>
      <c r="C18" s="1">
        <v>0</v>
      </c>
      <c r="D18" s="1">
        <f>-C71</f>
        <v>-1.567861845636386</v>
      </c>
      <c r="E18" s="16" t="s">
        <v>111</v>
      </c>
      <c r="F18" s="26">
        <f t="shared" si="0"/>
        <v>-1.0000054585496012</v>
      </c>
      <c r="G18" s="26">
        <f t="shared" si="1"/>
        <v>6.0628052338848907E-6</v>
      </c>
      <c r="H18" s="26">
        <f t="shared" si="2"/>
        <v>-1.5678561246319427</v>
      </c>
    </row>
    <row r="19" spans="1:12" x14ac:dyDescent="0.25">
      <c r="G19" s="2"/>
      <c r="K19" s="4"/>
    </row>
    <row r="20" spans="1:12" x14ac:dyDescent="0.25">
      <c r="K20" s="4"/>
    </row>
    <row r="21" spans="1:12" x14ac:dyDescent="0.25">
      <c r="A21" t="s">
        <v>57</v>
      </c>
      <c r="B21" t="s">
        <v>17</v>
      </c>
      <c r="D21" s="61" t="s">
        <v>18</v>
      </c>
      <c r="E21" s="61"/>
      <c r="F21" s="61"/>
      <c r="H21" s="61" t="s">
        <v>267</v>
      </c>
      <c r="I21" s="61"/>
      <c r="J21" s="61"/>
    </row>
    <row r="22" spans="1:12" x14ac:dyDescent="0.25">
      <c r="A22" t="s">
        <v>19</v>
      </c>
      <c r="B22" s="52">
        <f>H132*100</f>
        <v>8.3135227466845643E-4</v>
      </c>
      <c r="C22" t="s">
        <v>210</v>
      </c>
      <c r="D22" t="s">
        <v>20</v>
      </c>
      <c r="E22" s="3">
        <f>(AVERAGE(B22:B29))</f>
        <v>5.8330254113158491E-4</v>
      </c>
      <c r="F22" t="s">
        <v>210</v>
      </c>
      <c r="H22" s="61"/>
      <c r="I22" s="61"/>
      <c r="J22" s="61"/>
    </row>
    <row r="23" spans="1:12" x14ac:dyDescent="0.25">
      <c r="A23" t="s">
        <v>22</v>
      </c>
      <c r="B23" s="52">
        <f t="shared" ref="B23:B29" si="3">H133*100</f>
        <v>1.2820070348820885E-4</v>
      </c>
      <c r="C23" t="s">
        <v>210</v>
      </c>
      <c r="D23" t="s">
        <v>23</v>
      </c>
      <c r="E23">
        <f>E22*K53/100</f>
        <v>9.3700478130705483E-6</v>
      </c>
      <c r="F23" t="s">
        <v>24</v>
      </c>
      <c r="H23" t="s">
        <v>56</v>
      </c>
      <c r="I23" s="4" t="s">
        <v>29</v>
      </c>
      <c r="J23" s="4" t="s">
        <v>30</v>
      </c>
    </row>
    <row r="24" spans="1:12" x14ac:dyDescent="0.25">
      <c r="A24" t="s">
        <v>25</v>
      </c>
      <c r="B24" s="52">
        <f t="shared" si="3"/>
        <v>6.4374770211255393E-4</v>
      </c>
      <c r="C24" t="s">
        <v>210</v>
      </c>
      <c r="H24" s="9" t="s">
        <v>54</v>
      </c>
      <c r="I24" s="5">
        <v>0.5677593583138153</v>
      </c>
      <c r="J24">
        <f>DEGREES(I24)</f>
        <v>32.530215010437466</v>
      </c>
    </row>
    <row r="25" spans="1:12" x14ac:dyDescent="0.25">
      <c r="A25" t="s">
        <v>26</v>
      </c>
      <c r="B25" s="52">
        <f t="shared" si="3"/>
        <v>6.615775683561705E-4</v>
      </c>
      <c r="C25" t="s">
        <v>210</v>
      </c>
      <c r="D25" s="65" t="s">
        <v>207</v>
      </c>
      <c r="E25" s="65"/>
      <c r="F25" s="65"/>
      <c r="H25" s="9" t="s">
        <v>55</v>
      </c>
      <c r="I25" s="5">
        <v>7.8539684366926341</v>
      </c>
      <c r="J25">
        <f>DEGREES(I25)</f>
        <v>449.99924385144902</v>
      </c>
    </row>
    <row r="26" spans="1:12" x14ac:dyDescent="0.25">
      <c r="A26" t="s">
        <v>28</v>
      </c>
      <c r="B26" s="52">
        <f t="shared" si="3"/>
        <v>4.5093270148965008E-4</v>
      </c>
      <c r="C26" t="s">
        <v>210</v>
      </c>
      <c r="D26" t="s">
        <v>20</v>
      </c>
      <c r="E26">
        <f>E27/K53*100</f>
        <v>2.3311947738019168E-16</v>
      </c>
      <c r="F26" t="s">
        <v>210</v>
      </c>
      <c r="H26" s="9" t="s">
        <v>79</v>
      </c>
      <c r="I26" s="5">
        <v>3.1416003321912158</v>
      </c>
      <c r="J26">
        <f>DEGREES(I26)</f>
        <v>180.00043995145407</v>
      </c>
    </row>
    <row r="27" spans="1:12" x14ac:dyDescent="0.25">
      <c r="A27" t="s">
        <v>100</v>
      </c>
      <c r="B27" s="52">
        <f t="shared" si="3"/>
        <v>6.5682815915596405E-4</v>
      </c>
      <c r="C27" t="s">
        <v>210</v>
      </c>
      <c r="D27" t="s">
        <v>23</v>
      </c>
      <c r="E27">
        <f>H52</f>
        <v>3.7447816444839679E-18</v>
      </c>
      <c r="F27" t="s">
        <v>24</v>
      </c>
      <c r="H27" s="9" t="s">
        <v>280</v>
      </c>
      <c r="I27" s="5">
        <v>0.99999879466879704</v>
      </c>
      <c r="K27" s="50" t="s">
        <v>281</v>
      </c>
      <c r="L27" s="50" t="s">
        <v>310</v>
      </c>
    </row>
    <row r="28" spans="1:12" x14ac:dyDescent="0.25">
      <c r="A28" t="s">
        <v>116</v>
      </c>
      <c r="B28" s="52">
        <f t="shared" si="3"/>
        <v>6.7349792907800724E-4</v>
      </c>
      <c r="C28" t="s">
        <v>210</v>
      </c>
      <c r="J28" s="51" t="s">
        <v>311</v>
      </c>
      <c r="K28" s="53">
        <f>M74</f>
        <v>1.1576480242422833</v>
      </c>
      <c r="L28" s="53">
        <f>H101</f>
        <v>1.1576468488668323</v>
      </c>
    </row>
    <row r="29" spans="1:12" x14ac:dyDescent="0.25">
      <c r="A29" t="s">
        <v>117</v>
      </c>
      <c r="B29" s="52">
        <f t="shared" si="3"/>
        <v>6.2028329070366775E-4</v>
      </c>
      <c r="C29" t="s">
        <v>210</v>
      </c>
      <c r="E29" s="61" t="s">
        <v>274</v>
      </c>
      <c r="F29" s="61"/>
      <c r="J29" s="51" t="s">
        <v>312</v>
      </c>
      <c r="K29" s="53">
        <f>M75</f>
        <v>0.84235197575771692</v>
      </c>
      <c r="L29" s="53">
        <f>H103</f>
        <v>0.84235315113316789</v>
      </c>
    </row>
    <row r="30" spans="1:12" x14ac:dyDescent="0.25">
      <c r="E30" s="61"/>
      <c r="F30" s="61"/>
      <c r="H30" s="61" t="s">
        <v>235</v>
      </c>
      <c r="I30" s="61"/>
      <c r="J30" s="61"/>
      <c r="K30" s="50"/>
      <c r="L30" s="50"/>
    </row>
    <row r="31" spans="1:12" x14ac:dyDescent="0.25">
      <c r="H31" s="61"/>
      <c r="I31" s="61"/>
      <c r="J31" s="61"/>
    </row>
    <row r="32" spans="1:12" x14ac:dyDescent="0.25">
      <c r="D32" s="2" t="s">
        <v>14</v>
      </c>
      <c r="E32" s="71" t="s">
        <v>15</v>
      </c>
      <c r="F32" s="71"/>
      <c r="H32" s="61"/>
      <c r="I32" s="61"/>
      <c r="J32" s="61"/>
    </row>
    <row r="33" spans="1:13" x14ac:dyDescent="0.25">
      <c r="A33" s="61" t="s">
        <v>275</v>
      </c>
      <c r="B33" s="61"/>
      <c r="C33" s="61"/>
      <c r="D33" s="2"/>
      <c r="E33" s="72" t="s">
        <v>16</v>
      </c>
      <c r="F33" s="72"/>
      <c r="H33" s="61"/>
      <c r="I33" s="61"/>
      <c r="J33" s="61"/>
    </row>
    <row r="34" spans="1:13" x14ac:dyDescent="0.25">
      <c r="A34" s="61"/>
      <c r="B34" s="61"/>
      <c r="C34" s="61"/>
      <c r="D34" s="2"/>
      <c r="E34" s="73" t="s">
        <v>307</v>
      </c>
      <c r="F34" s="74"/>
      <c r="H34" s="61"/>
      <c r="I34" s="61"/>
      <c r="J34" s="61"/>
      <c r="K34" s="4"/>
      <c r="L34" s="4"/>
    </row>
    <row r="35" spans="1:13" x14ac:dyDescent="0.25">
      <c r="H35" s="4"/>
      <c r="L35" s="4"/>
    </row>
    <row r="36" spans="1:13" x14ac:dyDescent="0.25">
      <c r="H36" s="4"/>
      <c r="L36" s="4"/>
    </row>
    <row r="39" spans="1:13" ht="15" customHeight="1" x14ac:dyDescent="0.25">
      <c r="A39" s="68" t="s">
        <v>83</v>
      </c>
      <c r="B39" s="7"/>
      <c r="C39" s="8" t="s">
        <v>31</v>
      </c>
      <c r="D39" s="8" t="s">
        <v>32</v>
      </c>
      <c r="E39" s="8" t="s">
        <v>33</v>
      </c>
      <c r="F39" s="8"/>
      <c r="G39" s="61" t="s">
        <v>95</v>
      </c>
      <c r="H39" s="61"/>
    </row>
    <row r="40" spans="1:13" x14ac:dyDescent="0.25">
      <c r="A40" s="68"/>
      <c r="B40" t="s">
        <v>82</v>
      </c>
      <c r="C40">
        <f t="shared" ref="C40:C48" si="4">B10*$G$40+C10*$H$40+D10*$I$40</f>
        <v>0</v>
      </c>
      <c r="D40">
        <f t="shared" ref="D40:D48" si="5">B10*$G$41+C10*$H$41+D10*$I$41</f>
        <v>0</v>
      </c>
      <c r="E40">
        <f t="shared" ref="E40:E48" si="6">B10*$G$42+C10*$H$42+D10*$I$42</f>
        <v>0</v>
      </c>
      <c r="G40">
        <f>B4</f>
        <v>1</v>
      </c>
      <c r="H40">
        <f>B5*(COS(M42))</f>
        <v>6.1257422745431001E-17</v>
      </c>
      <c r="I40">
        <f>B6*(COS(M41))</f>
        <v>6.1257422745431001E-17</v>
      </c>
      <c r="K40" t="s">
        <v>51</v>
      </c>
      <c r="L40">
        <f>D4</f>
        <v>90</v>
      </c>
      <c r="M40">
        <f>RADIANS(L40)</f>
        <v>1.5707963267948966</v>
      </c>
    </row>
    <row r="41" spans="1:13" x14ac:dyDescent="0.25">
      <c r="B41" t="str">
        <f t="shared" ref="B41:B48" si="7">A22</f>
        <v>P1</v>
      </c>
      <c r="C41">
        <f t="shared" si="4"/>
        <v>1.5730059863001078E-16</v>
      </c>
      <c r="D41">
        <f t="shared" si="5"/>
        <v>1</v>
      </c>
      <c r="E41">
        <f t="shared" si="6"/>
        <v>1.567861845636386</v>
      </c>
      <c r="G41">
        <f>0</f>
        <v>0</v>
      </c>
      <c r="H41">
        <f>B5*(SIN(M42))</f>
        <v>1</v>
      </c>
      <c r="I41">
        <f>(B6*(COS(M40)-COS(M41)*COS(M42)))/(SIN(M42))</f>
        <v>6.1257422745431001E-17</v>
      </c>
      <c r="K41" t="s">
        <v>93</v>
      </c>
      <c r="L41">
        <f>D5</f>
        <v>90</v>
      </c>
      <c r="M41">
        <f>RADIANS(L41)</f>
        <v>1.5707963267948966</v>
      </c>
    </row>
    <row r="42" spans="1:13" x14ac:dyDescent="0.25">
      <c r="B42" t="str">
        <f t="shared" si="7"/>
        <v>P2</v>
      </c>
      <c r="C42">
        <f t="shared" si="4"/>
        <v>3.4785753139148782E-17</v>
      </c>
      <c r="D42">
        <f t="shared" si="5"/>
        <v>-0.99999999999999989</v>
      </c>
      <c r="E42">
        <f t="shared" si="6"/>
        <v>1.567861845636386</v>
      </c>
      <c r="G42">
        <f>0</f>
        <v>0</v>
      </c>
      <c r="H42">
        <f>0</f>
        <v>0</v>
      </c>
      <c r="I42">
        <f>B6*(SQRT(1-POWER(COS(M41),2)-(POWER(COS(M40)-(COS(M41)*COS(M42)),2))/(POWER(SIN(M42),2))))</f>
        <v>1</v>
      </c>
      <c r="K42" t="s">
        <v>94</v>
      </c>
      <c r="L42">
        <f>D6</f>
        <v>90</v>
      </c>
      <c r="M42">
        <f>RADIANS(L42)</f>
        <v>1.5707963267948966</v>
      </c>
    </row>
    <row r="43" spans="1:13" x14ac:dyDescent="0.25">
      <c r="B43" t="str">
        <f t="shared" si="7"/>
        <v>P3</v>
      </c>
      <c r="C43">
        <f t="shared" si="4"/>
        <v>1.2891685509362201</v>
      </c>
      <c r="D43">
        <f t="shared" si="5"/>
        <v>2.5184343612482261E-17</v>
      </c>
      <c r="E43">
        <f t="shared" si="6"/>
        <v>0.41112313387948862</v>
      </c>
      <c r="G43" s="65" t="s">
        <v>272</v>
      </c>
      <c r="H43" s="65"/>
    </row>
    <row r="44" spans="1:13" x14ac:dyDescent="0.25">
      <c r="B44" t="str">
        <f t="shared" si="7"/>
        <v>P4</v>
      </c>
      <c r="C44">
        <f t="shared" si="4"/>
        <v>-1.2891685509362201</v>
      </c>
      <c r="D44">
        <f t="shared" si="5"/>
        <v>2.5184343612482261E-17</v>
      </c>
      <c r="E44">
        <f t="shared" si="6"/>
        <v>0.41112313387948862</v>
      </c>
      <c r="G44" s="6">
        <f>1/G40</f>
        <v>1</v>
      </c>
      <c r="H44">
        <f>-H40/(G40*H41)</f>
        <v>-6.1257422745431001E-17</v>
      </c>
      <c r="I44">
        <f>(H40*I41)/(G40*H41*I42)-I40/(G40*I42)</f>
        <v>-6.1257422745431001E-17</v>
      </c>
    </row>
    <row r="45" spans="1:13" x14ac:dyDescent="0.25">
      <c r="B45" t="str">
        <f t="shared" si="7"/>
        <v>P5</v>
      </c>
      <c r="C45">
        <f t="shared" si="4"/>
        <v>5.3786799302332467E-17</v>
      </c>
      <c r="D45">
        <f t="shared" si="5"/>
        <v>1.2891685509362201</v>
      </c>
      <c r="E45">
        <f t="shared" si="6"/>
        <v>-0.41112313387948862</v>
      </c>
      <c r="G45" s="6">
        <f>0</f>
        <v>0</v>
      </c>
      <c r="H45" s="6">
        <f>1/H41</f>
        <v>1</v>
      </c>
      <c r="I45">
        <f>-I41/(H41*I42)</f>
        <v>-6.1257422745431001E-17</v>
      </c>
    </row>
    <row r="46" spans="1:13" x14ac:dyDescent="0.25">
      <c r="B46" t="str">
        <f t="shared" si="7"/>
        <v>P6</v>
      </c>
      <c r="C46">
        <f t="shared" si="4"/>
        <v>-1.0415548652729698E-16</v>
      </c>
      <c r="D46">
        <f t="shared" si="5"/>
        <v>-1.2891685509362201</v>
      </c>
      <c r="E46">
        <f t="shared" si="6"/>
        <v>-0.41112313387948862</v>
      </c>
      <c r="G46" s="6">
        <f>0</f>
        <v>0</v>
      </c>
      <c r="H46">
        <f>0</f>
        <v>0</v>
      </c>
      <c r="I46" s="6">
        <f>1/I42</f>
        <v>1</v>
      </c>
    </row>
    <row r="47" spans="1:13" x14ac:dyDescent="0.25">
      <c r="B47" t="str">
        <f t="shared" si="7"/>
        <v>P7</v>
      </c>
      <c r="C47">
        <f t="shared" si="4"/>
        <v>0.99999999999999989</v>
      </c>
      <c r="D47">
        <f t="shared" si="5"/>
        <v>-9.6043175884579783E-17</v>
      </c>
      <c r="E47">
        <f t="shared" si="6"/>
        <v>-1.567861845636386</v>
      </c>
      <c r="G47" s="6"/>
      <c r="I47" s="6"/>
    </row>
    <row r="48" spans="1:13" x14ac:dyDescent="0.25">
      <c r="B48" t="str">
        <f t="shared" si="7"/>
        <v>P8</v>
      </c>
      <c r="C48">
        <f t="shared" si="4"/>
        <v>-1</v>
      </c>
      <c r="D48">
        <f t="shared" si="5"/>
        <v>-9.6043175884579783E-17</v>
      </c>
      <c r="E48">
        <f t="shared" si="6"/>
        <v>-1.567861845636386</v>
      </c>
      <c r="G48" s="6"/>
      <c r="I48" s="6"/>
    </row>
    <row r="49" spans="1:14" x14ac:dyDescent="0.25">
      <c r="A49" t="s">
        <v>203</v>
      </c>
      <c r="B49" t="s">
        <v>204</v>
      </c>
      <c r="C49">
        <f>AVERAGE(C41:C48)</f>
        <v>0</v>
      </c>
      <c r="D49">
        <f>AVERAGE(D41:D48)</f>
        <v>3.7447816444839679E-18</v>
      </c>
      <c r="E49">
        <f>AVERAGE(E41:E48)</f>
        <v>0</v>
      </c>
      <c r="G49" s="6"/>
      <c r="I49" s="6"/>
    </row>
    <row r="50" spans="1:14" x14ac:dyDescent="0.25">
      <c r="G50" s="6"/>
    </row>
    <row r="51" spans="1:14" x14ac:dyDescent="0.25">
      <c r="A51" s="19" t="s">
        <v>205</v>
      </c>
      <c r="G51" s="6"/>
    </row>
    <row r="52" spans="1:14" x14ac:dyDescent="0.25">
      <c r="A52" s="30" t="s">
        <v>211</v>
      </c>
      <c r="B52" t="s">
        <v>208</v>
      </c>
      <c r="C52">
        <f>C40-C$49</f>
        <v>0</v>
      </c>
      <c r="D52">
        <f t="shared" ref="C52:E60" si="8">D40-D$49</f>
        <v>-3.7447816444839679E-18</v>
      </c>
      <c r="E52">
        <f t="shared" si="8"/>
        <v>0</v>
      </c>
      <c r="G52" s="6" t="s">
        <v>209</v>
      </c>
      <c r="H52">
        <f t="shared" ref="H52:H60" si="9">SQRT(POWER(C52,2)+POWER(D52,2)+POWER(E52,2))</f>
        <v>3.7447816444839679E-18</v>
      </c>
    </row>
    <row r="53" spans="1:14" x14ac:dyDescent="0.25">
      <c r="A53" s="4" t="s">
        <v>212</v>
      </c>
      <c r="B53" s="7" t="s">
        <v>36</v>
      </c>
      <c r="C53">
        <f>C41-C$49</f>
        <v>1.5730059863001078E-16</v>
      </c>
      <c r="D53">
        <f t="shared" si="8"/>
        <v>1</v>
      </c>
      <c r="E53">
        <f t="shared" si="8"/>
        <v>1.567861845636386</v>
      </c>
      <c r="G53" s="6" t="s">
        <v>37</v>
      </c>
      <c r="H53">
        <f t="shared" si="9"/>
        <v>1.8596211353397591</v>
      </c>
      <c r="J53" s="6" t="s">
        <v>314</v>
      </c>
      <c r="K53">
        <f>AVERAGE(H53:H60)</f>
        <v>1.6063787061330144</v>
      </c>
    </row>
    <row r="54" spans="1:14" x14ac:dyDescent="0.25">
      <c r="A54" s="4" t="s">
        <v>213</v>
      </c>
      <c r="B54" s="7" t="s">
        <v>39</v>
      </c>
      <c r="C54">
        <f t="shared" si="8"/>
        <v>3.4785753139148782E-17</v>
      </c>
      <c r="D54">
        <f>D42-D$49</f>
        <v>-0.99999999999999989</v>
      </c>
      <c r="E54">
        <f t="shared" si="8"/>
        <v>1.567861845636386</v>
      </c>
      <c r="G54" s="6" t="s">
        <v>40</v>
      </c>
      <c r="H54">
        <f t="shared" si="9"/>
        <v>1.8596211353397591</v>
      </c>
    </row>
    <row r="55" spans="1:14" x14ac:dyDescent="0.25">
      <c r="A55" s="4" t="s">
        <v>214</v>
      </c>
      <c r="B55" s="7" t="s">
        <v>42</v>
      </c>
      <c r="C55">
        <f t="shared" si="8"/>
        <v>1.2891685509362201</v>
      </c>
      <c r="D55">
        <f t="shared" si="8"/>
        <v>2.1439561967998293E-17</v>
      </c>
      <c r="E55">
        <f t="shared" si="8"/>
        <v>0.41112313387948862</v>
      </c>
      <c r="G55" s="6" t="s">
        <v>43</v>
      </c>
      <c r="H55">
        <f t="shared" si="9"/>
        <v>1.3531362769262694</v>
      </c>
    </row>
    <row r="56" spans="1:14" x14ac:dyDescent="0.25">
      <c r="A56" s="4" t="s">
        <v>215</v>
      </c>
      <c r="B56" s="7" t="s">
        <v>45</v>
      </c>
      <c r="C56">
        <f t="shared" si="8"/>
        <v>-1.2891685509362201</v>
      </c>
      <c r="D56">
        <f t="shared" si="8"/>
        <v>2.1439561967998293E-17</v>
      </c>
      <c r="E56">
        <f t="shared" si="8"/>
        <v>0.41112313387948862</v>
      </c>
      <c r="G56" s="6" t="s">
        <v>46</v>
      </c>
      <c r="H56">
        <f t="shared" si="9"/>
        <v>1.3531362769262694</v>
      </c>
    </row>
    <row r="57" spans="1:14" x14ac:dyDescent="0.25">
      <c r="A57" s="4" t="s">
        <v>216</v>
      </c>
      <c r="B57" s="7" t="s">
        <v>48</v>
      </c>
      <c r="C57">
        <f t="shared" si="8"/>
        <v>5.3786799302332467E-17</v>
      </c>
      <c r="D57">
        <f t="shared" si="8"/>
        <v>1.2891685509362201</v>
      </c>
      <c r="E57">
        <f t="shared" si="8"/>
        <v>-0.41112313387948862</v>
      </c>
      <c r="G57" s="6" t="s">
        <v>49</v>
      </c>
      <c r="H57">
        <f t="shared" si="9"/>
        <v>1.3531362769262694</v>
      </c>
    </row>
    <row r="58" spans="1:14" x14ac:dyDescent="0.25">
      <c r="A58" s="4" t="s">
        <v>217</v>
      </c>
      <c r="B58" s="7" t="s">
        <v>102</v>
      </c>
      <c r="C58">
        <f t="shared" si="8"/>
        <v>-1.0415548652729698E-16</v>
      </c>
      <c r="D58">
        <f t="shared" si="8"/>
        <v>-1.2891685509362201</v>
      </c>
      <c r="E58">
        <f t="shared" si="8"/>
        <v>-0.41112313387948862</v>
      </c>
      <c r="G58" s="6" t="s">
        <v>135</v>
      </c>
      <c r="H58">
        <f t="shared" si="9"/>
        <v>1.3531362769262694</v>
      </c>
    </row>
    <row r="59" spans="1:14" x14ac:dyDescent="0.25">
      <c r="A59" s="4" t="s">
        <v>218</v>
      </c>
      <c r="B59" s="7" t="s">
        <v>122</v>
      </c>
      <c r="C59">
        <f t="shared" si="8"/>
        <v>0.99999999999999989</v>
      </c>
      <c r="D59">
        <f t="shared" si="8"/>
        <v>-9.9787957529063744E-17</v>
      </c>
      <c r="E59">
        <f t="shared" si="8"/>
        <v>-1.567861845636386</v>
      </c>
      <c r="G59" s="6" t="s">
        <v>136</v>
      </c>
      <c r="H59">
        <f t="shared" si="9"/>
        <v>1.8596211353397591</v>
      </c>
    </row>
    <row r="60" spans="1:14" x14ac:dyDescent="0.25">
      <c r="A60" s="4" t="s">
        <v>219</v>
      </c>
      <c r="B60" s="7" t="s">
        <v>123</v>
      </c>
      <c r="C60">
        <f t="shared" si="8"/>
        <v>-1</v>
      </c>
      <c r="D60">
        <f t="shared" si="8"/>
        <v>-9.9787957529063744E-17</v>
      </c>
      <c r="E60">
        <f t="shared" si="8"/>
        <v>-1.567861845636386</v>
      </c>
      <c r="G60" s="6" t="s">
        <v>137</v>
      </c>
      <c r="H60">
        <f t="shared" si="9"/>
        <v>1.8596211353397591</v>
      </c>
    </row>
    <row r="61" spans="1:14" x14ac:dyDescent="0.25">
      <c r="J61" t="s">
        <v>87</v>
      </c>
      <c r="K61" t="s">
        <v>88</v>
      </c>
    </row>
    <row r="62" spans="1:14" x14ac:dyDescent="0.25">
      <c r="A62" s="17" t="s">
        <v>157</v>
      </c>
      <c r="B62" s="7" t="str">
        <f t="shared" ref="B62:B69" si="10">B53</f>
        <v>vector P1</v>
      </c>
      <c r="C62">
        <f t="shared" ref="C62:E69" si="11">C53/$K$53</f>
        <v>9.7922487411872902E-17</v>
      </c>
      <c r="D62">
        <f t="shared" si="11"/>
        <v>0.62251821203934465</v>
      </c>
      <c r="E62">
        <f t="shared" si="11"/>
        <v>0.97602255287027007</v>
      </c>
      <c r="G62" s="6" t="s">
        <v>67</v>
      </c>
      <c r="H62">
        <f>SQRT(C62^2+D62^2+E62^2)</f>
        <v>1.1576480242422831</v>
      </c>
      <c r="I62" s="6"/>
      <c r="J62">
        <f t="shared" ref="J62:J69" si="12">ACOS((C62*C63+D62*D63+E62*E63)/(SQRT(C62^2+D62^2+E62^2)*SQRT(C63^2+D63^2+E63^2)))</f>
        <v>1.1355178738942135</v>
      </c>
      <c r="K62">
        <f t="shared" ref="K62:K69" si="13">DEGREES(J62)</f>
        <v>65.060381735806871</v>
      </c>
      <c r="L62" t="s">
        <v>81</v>
      </c>
      <c r="M62" s="6" t="s">
        <v>50</v>
      </c>
      <c r="N62">
        <f>AVERAGE(H62:H69)</f>
        <v>0.99999999999999978</v>
      </c>
    </row>
    <row r="63" spans="1:14" x14ac:dyDescent="0.25">
      <c r="A63" s="4"/>
      <c r="B63" s="7" t="str">
        <f t="shared" si="10"/>
        <v>vector P2</v>
      </c>
      <c r="C63">
        <f>C54/$K$53</f>
        <v>2.1654764848624923E-17</v>
      </c>
      <c r="D63">
        <f t="shared" si="11"/>
        <v>-0.62251821203934465</v>
      </c>
      <c r="E63">
        <f t="shared" si="11"/>
        <v>0.97602255287027007</v>
      </c>
      <c r="G63" s="6" t="s">
        <v>68</v>
      </c>
      <c r="H63">
        <f t="shared" ref="H63:H69" si="14">SQRT(C63^2+D63^2+E63^2)</f>
        <v>1.1576480242422831</v>
      </c>
      <c r="J63">
        <f t="shared" si="12"/>
        <v>1.3117473209476433</v>
      </c>
      <c r="K63">
        <f t="shared" si="13"/>
        <v>75.157585277892608</v>
      </c>
      <c r="L63" t="s">
        <v>89</v>
      </c>
    </row>
    <row r="64" spans="1:14" x14ac:dyDescent="0.25">
      <c r="A64" s="4"/>
      <c r="B64" s="7" t="str">
        <f t="shared" si="10"/>
        <v>vector P3</v>
      </c>
      <c r="C64">
        <f t="shared" si="11"/>
        <v>0.80253090134616856</v>
      </c>
      <c r="D64">
        <f t="shared" si="11"/>
        <v>1.3346517783225032E-17</v>
      </c>
      <c r="E64">
        <f t="shared" si="11"/>
        <v>0.25593163823067139</v>
      </c>
      <c r="G64" s="6" t="s">
        <v>69</v>
      </c>
      <c r="H64">
        <f t="shared" si="14"/>
        <v>0.8423519757577167</v>
      </c>
      <c r="J64">
        <f t="shared" si="12"/>
        <v>2.524172791390086</v>
      </c>
      <c r="K64">
        <f t="shared" si="13"/>
        <v>144.6244477084079</v>
      </c>
      <c r="L64" t="s">
        <v>90</v>
      </c>
    </row>
    <row r="65" spans="1:15" x14ac:dyDescent="0.25">
      <c r="A65" s="4"/>
      <c r="B65" s="7" t="str">
        <f t="shared" si="10"/>
        <v>vector P4</v>
      </c>
      <c r="C65">
        <f t="shared" si="11"/>
        <v>-0.80253090134616856</v>
      </c>
      <c r="D65">
        <f t="shared" si="11"/>
        <v>1.3346517783225032E-17</v>
      </c>
      <c r="E65">
        <f t="shared" si="11"/>
        <v>0.25593163823067139</v>
      </c>
      <c r="G65" s="6" t="s">
        <v>70</v>
      </c>
      <c r="H65">
        <f t="shared" si="14"/>
        <v>0.8423519757577167</v>
      </c>
      <c r="J65">
        <f t="shared" si="12"/>
        <v>1.6632404923045596</v>
      </c>
      <c r="K65">
        <f t="shared" si="13"/>
        <v>95.296660524312543</v>
      </c>
      <c r="L65" t="s">
        <v>91</v>
      </c>
    </row>
    <row r="66" spans="1:15" x14ac:dyDescent="0.25">
      <c r="A66" s="4"/>
      <c r="B66" s="7" t="str">
        <f t="shared" si="10"/>
        <v>vector P5</v>
      </c>
      <c r="C66">
        <f t="shared" si="11"/>
        <v>3.3483262133007081E-17</v>
      </c>
      <c r="D66">
        <f t="shared" si="11"/>
        <v>0.80253090134616856</v>
      </c>
      <c r="E66">
        <f t="shared" si="11"/>
        <v>-0.25593163823067139</v>
      </c>
      <c r="G66" s="6" t="s">
        <v>71</v>
      </c>
      <c r="H66">
        <f t="shared" si="14"/>
        <v>0.8423519757577167</v>
      </c>
      <c r="J66">
        <f t="shared" si="12"/>
        <v>2.524172791390086</v>
      </c>
      <c r="K66">
        <f t="shared" si="13"/>
        <v>144.6244477084079</v>
      </c>
      <c r="L66" t="s">
        <v>149</v>
      </c>
    </row>
    <row r="67" spans="1:15" x14ac:dyDescent="0.25">
      <c r="B67" s="7" t="str">
        <f t="shared" si="10"/>
        <v>vector P6</v>
      </c>
      <c r="C67">
        <f t="shared" si="11"/>
        <v>-6.483868724706097E-17</v>
      </c>
      <c r="D67">
        <f t="shared" si="11"/>
        <v>-0.80253090134616856</v>
      </c>
      <c r="E67">
        <f t="shared" si="11"/>
        <v>-0.25593163823067139</v>
      </c>
      <c r="G67" s="6" t="s">
        <v>142</v>
      </c>
      <c r="H67">
        <f t="shared" si="14"/>
        <v>0.8423519757577167</v>
      </c>
      <c r="J67">
        <f t="shared" si="12"/>
        <v>1.3117473209476433</v>
      </c>
      <c r="K67">
        <f t="shared" si="13"/>
        <v>75.157585277892608</v>
      </c>
      <c r="L67" t="s">
        <v>150</v>
      </c>
    </row>
    <row r="68" spans="1:15" x14ac:dyDescent="0.25">
      <c r="B68" s="7" t="str">
        <f t="shared" si="10"/>
        <v>vector P7</v>
      </c>
      <c r="C68">
        <f t="shared" si="11"/>
        <v>0.62251821203934465</v>
      </c>
      <c r="D68">
        <f t="shared" si="11"/>
        <v>-6.2119820904050825E-17</v>
      </c>
      <c r="E68">
        <f t="shared" si="11"/>
        <v>-0.97602255287027007</v>
      </c>
      <c r="G68" s="6" t="s">
        <v>143</v>
      </c>
      <c r="H68">
        <f t="shared" si="14"/>
        <v>1.1576480242422831</v>
      </c>
      <c r="J68">
        <f t="shared" si="12"/>
        <v>1.1355178738942135</v>
      </c>
      <c r="K68">
        <f t="shared" si="13"/>
        <v>65.060381735806871</v>
      </c>
      <c r="L68" t="s">
        <v>151</v>
      </c>
    </row>
    <row r="69" spans="1:15" x14ac:dyDescent="0.25">
      <c r="B69" s="7" t="str">
        <f t="shared" si="10"/>
        <v>vector P8</v>
      </c>
      <c r="C69">
        <f t="shared" si="11"/>
        <v>-0.62251821203934465</v>
      </c>
      <c r="D69">
        <f t="shared" si="11"/>
        <v>-6.2119820904050825E-17</v>
      </c>
      <c r="E69">
        <f t="shared" si="11"/>
        <v>-0.97602255287027007</v>
      </c>
      <c r="G69" s="6" t="s">
        <v>144</v>
      </c>
      <c r="H69">
        <f t="shared" si="14"/>
        <v>1.1576480242422831</v>
      </c>
      <c r="J69" t="e">
        <f t="shared" si="12"/>
        <v>#DIV/0!</v>
      </c>
      <c r="K69" t="e">
        <f t="shared" si="13"/>
        <v>#DIV/0!</v>
      </c>
      <c r="L69" t="s">
        <v>168</v>
      </c>
    </row>
    <row r="70" spans="1:15" x14ac:dyDescent="0.25">
      <c r="B70" s="7"/>
      <c r="G70" s="6"/>
    </row>
    <row r="71" spans="1:15" x14ac:dyDescent="0.25">
      <c r="A71" s="82" t="s">
        <v>248</v>
      </c>
      <c r="B71" t="s">
        <v>242</v>
      </c>
      <c r="C71" s="7">
        <f>(SQRT(3+2*C73-C73^2)+SQRT(3-C73^2))/2</f>
        <v>1.567861845636386</v>
      </c>
      <c r="D71" s="65" t="s">
        <v>263</v>
      </c>
      <c r="E71" s="65"/>
      <c r="F71" s="65"/>
      <c r="G71" s="81" t="s">
        <v>265</v>
      </c>
      <c r="H71" s="81"/>
      <c r="I71" t="s">
        <v>259</v>
      </c>
      <c r="J71" t="s">
        <v>374</v>
      </c>
      <c r="K71">
        <v>0</v>
      </c>
      <c r="L71">
        <v>1</v>
      </c>
      <c r="M71">
        <f>C71</f>
        <v>1.567861845636386</v>
      </c>
      <c r="N71" s="55" t="s">
        <v>67</v>
      </c>
      <c r="O71">
        <f>SQRT(K71^2+L71^2+M71^2)</f>
        <v>1.8596211353397591</v>
      </c>
    </row>
    <row r="72" spans="1:15" x14ac:dyDescent="0.25">
      <c r="A72" s="82"/>
      <c r="B72" t="s">
        <v>243</v>
      </c>
      <c r="C72" s="7">
        <f>(SQRT(3+2*C73-C73^2)-SQRT(3-C73^2))/2</f>
        <v>0.41112313387948862</v>
      </c>
      <c r="D72" s="65" t="s">
        <v>264</v>
      </c>
      <c r="E72" s="65"/>
      <c r="F72" s="65"/>
      <c r="G72" s="6"/>
      <c r="I72" t="s">
        <v>260</v>
      </c>
      <c r="J72" t="s">
        <v>375</v>
      </c>
      <c r="K72">
        <f>C73</f>
        <v>1.2891685509362201</v>
      </c>
      <c r="L72">
        <v>0</v>
      </c>
      <c r="M72">
        <f>C72</f>
        <v>0.41112313387948862</v>
      </c>
      <c r="N72" s="55" t="s">
        <v>68</v>
      </c>
      <c r="O72">
        <f>SQRT(K72^2+L72^2+M72^2)</f>
        <v>1.3531362769262694</v>
      </c>
    </row>
    <row r="73" spans="1:15" x14ac:dyDescent="0.25">
      <c r="A73" s="6"/>
      <c r="B73" t="s">
        <v>241</v>
      </c>
      <c r="C73" s="7">
        <v>1.2891685509362201</v>
      </c>
      <c r="D73" s="81" t="s">
        <v>244</v>
      </c>
      <c r="E73" s="81"/>
      <c r="F73" s="42">
        <f>C73^3-3*C73^2-4*C73+8</f>
        <v>-3.0289553976103889E-8</v>
      </c>
      <c r="G73" s="6"/>
      <c r="I73" t="s">
        <v>261</v>
      </c>
      <c r="K73" s="6"/>
    </row>
    <row r="74" spans="1:15" x14ac:dyDescent="0.25">
      <c r="G74" s="6"/>
      <c r="I74" t="s">
        <v>262</v>
      </c>
      <c r="K74" s="6"/>
      <c r="L74" t="s">
        <v>376</v>
      </c>
      <c r="M74">
        <f>O71/AVERAGE(O71:O72)</f>
        <v>1.1576480242422833</v>
      </c>
    </row>
    <row r="75" spans="1:15" x14ac:dyDescent="0.25">
      <c r="C75" s="7" t="s">
        <v>29</v>
      </c>
      <c r="D75" t="s">
        <v>247</v>
      </c>
      <c r="G75" s="6"/>
      <c r="K75" s="6"/>
      <c r="L75" t="s">
        <v>377</v>
      </c>
      <c r="M75">
        <f>O72/AVERAGE(O71:O72)</f>
        <v>0.84235197575771692</v>
      </c>
    </row>
    <row r="76" spans="1:15" x14ac:dyDescent="0.25">
      <c r="B76" t="s">
        <v>245</v>
      </c>
      <c r="C76" s="7">
        <f>ACOS((I77*I81+J77*J81+K77*K81)/(SQRT(I77^2+J77^2+K77^2)*SQRT(I81^2+J81^2+K81^2)))</f>
        <v>1.3117473209476436</v>
      </c>
      <c r="D76">
        <f>DEGREES(C76)</f>
        <v>75.157585277892622</v>
      </c>
      <c r="G76" s="60" t="s">
        <v>390</v>
      </c>
      <c r="H76" t="s">
        <v>82</v>
      </c>
      <c r="I76">
        <v>0</v>
      </c>
      <c r="J76">
        <v>0</v>
      </c>
      <c r="K76">
        <v>0</v>
      </c>
    </row>
    <row r="77" spans="1:15" x14ac:dyDescent="0.25">
      <c r="B77" t="s">
        <v>246</v>
      </c>
      <c r="C77" s="7">
        <f>ACOS((I77*I78+J77*J78+K77*K78)/(SQRT(I77^2+J77^2+K77^2)*SQRT(I78^2+J78^2+K78^2)))</f>
        <v>1.1355178738942135</v>
      </c>
      <c r="D77">
        <f>DEGREES(C77)</f>
        <v>65.060381735806871</v>
      </c>
      <c r="G77" s="60" t="s">
        <v>391</v>
      </c>
      <c r="H77" t="s">
        <v>19</v>
      </c>
      <c r="I77">
        <v>0</v>
      </c>
      <c r="J77">
        <v>1</v>
      </c>
      <c r="K77">
        <f>C71</f>
        <v>1.567861845636386</v>
      </c>
    </row>
    <row r="78" spans="1:15" x14ac:dyDescent="0.25">
      <c r="B78" s="7"/>
      <c r="G78" s="60"/>
      <c r="H78" t="s">
        <v>22</v>
      </c>
      <c r="I78">
        <v>0</v>
      </c>
      <c r="J78">
        <v>-1</v>
      </c>
      <c r="K78">
        <f>C71</f>
        <v>1.567861845636386</v>
      </c>
    </row>
    <row r="79" spans="1:15" x14ac:dyDescent="0.25">
      <c r="A79" s="67" t="s">
        <v>250</v>
      </c>
      <c r="B79" s="66" t="s">
        <v>249</v>
      </c>
      <c r="C79">
        <f>C77/2</f>
        <v>0.56775893694710677</v>
      </c>
      <c r="D79">
        <f>DEGREES(C79)</f>
        <v>32.530190867903436</v>
      </c>
      <c r="G79" s="60"/>
      <c r="H79" t="s">
        <v>25</v>
      </c>
      <c r="I79">
        <f>C73</f>
        <v>1.2891685509362201</v>
      </c>
      <c r="J79">
        <v>0</v>
      </c>
      <c r="K79">
        <f>C72</f>
        <v>0.41112313387948862</v>
      </c>
    </row>
    <row r="80" spans="1:15" x14ac:dyDescent="0.25">
      <c r="A80" s="68"/>
      <c r="B80" s="66"/>
      <c r="G80" s="60"/>
      <c r="H80" t="s">
        <v>26</v>
      </c>
      <c r="I80">
        <f>-C73</f>
        <v>-1.2891685509362201</v>
      </c>
      <c r="J80">
        <v>0</v>
      </c>
      <c r="K80">
        <f>C72</f>
        <v>0.41112313387948862</v>
      </c>
    </row>
    <row r="81" spans="1:12" x14ac:dyDescent="0.25">
      <c r="B81" s="7" t="s">
        <v>179</v>
      </c>
      <c r="C81">
        <f>SIN($I$24+C79)*COS($I$25)</f>
        <v>1.1966672821167306E-5</v>
      </c>
      <c r="D81">
        <f>SIN($I$24+C79)*SIN($I$25)</f>
        <v>0.90675284179033522</v>
      </c>
      <c r="E81">
        <f>COS($I$24+C79)</f>
        <v>0.42166252354454042</v>
      </c>
      <c r="G81" s="60"/>
      <c r="H81" t="s">
        <v>28</v>
      </c>
      <c r="I81">
        <v>0</v>
      </c>
      <c r="J81">
        <f>C73</f>
        <v>1.2891685509362201</v>
      </c>
      <c r="K81">
        <f>-C72</f>
        <v>-0.41112313387948862</v>
      </c>
    </row>
    <row r="82" spans="1:12" x14ac:dyDescent="0.25">
      <c r="B82" s="7"/>
      <c r="G82" s="60"/>
      <c r="H82" t="s">
        <v>100</v>
      </c>
      <c r="I82">
        <v>0</v>
      </c>
      <c r="J82">
        <f>-C73</f>
        <v>-1.2891685509362201</v>
      </c>
      <c r="K82">
        <f>-C72</f>
        <v>-0.41112313387948862</v>
      </c>
    </row>
    <row r="83" spans="1:12" x14ac:dyDescent="0.25">
      <c r="A83" s="67" t="s">
        <v>180</v>
      </c>
      <c r="C83">
        <f>(C81^2)*(1-COS(PI()/2))+COS(PI()/2)</f>
        <v>1.43201319666287E-10</v>
      </c>
      <c r="D83">
        <f>C81*D81*(1-COS(PI()/2))-E81*SIN(PI()/2)</f>
        <v>-0.42165167272995308</v>
      </c>
      <c r="E83">
        <f>C81*E81*(1-COS(PI()/2))+D81*SIN(PI()/2)</f>
        <v>0.90675788768779542</v>
      </c>
      <c r="G83" s="60"/>
      <c r="H83" t="s">
        <v>116</v>
      </c>
      <c r="I83">
        <v>1</v>
      </c>
      <c r="J83">
        <v>0</v>
      </c>
      <c r="K83">
        <f>-C71</f>
        <v>-1.567861845636386</v>
      </c>
    </row>
    <row r="84" spans="1:12" x14ac:dyDescent="0.25">
      <c r="A84" s="68"/>
      <c r="B84" t="s">
        <v>363</v>
      </c>
      <c r="C84">
        <f>D81*C81*(1-COS(PI()/2))+E81*SIN(PI()/2)</f>
        <v>0.42167337435912777</v>
      </c>
      <c r="D84">
        <f>(D81^2)*(1-COS(PI()/2))+COS(PI()/2)</f>
        <v>0.82220071609484868</v>
      </c>
      <c r="E84">
        <f>D81*E81*(1-COS(PI()/2))-C81*SIN(PI()/2)</f>
        <v>0.38233172482767497</v>
      </c>
      <c r="G84" s="60"/>
      <c r="H84" t="s">
        <v>117</v>
      </c>
      <c r="I84">
        <v>-1</v>
      </c>
      <c r="J84">
        <v>0</v>
      </c>
      <c r="K84">
        <f>-C71</f>
        <v>-1.567861845636386</v>
      </c>
    </row>
    <row r="85" spans="1:12" x14ac:dyDescent="0.25">
      <c r="C85">
        <f>E81*C81*(1-COS(PI()/2))-D81*SIN(PI()/2)</f>
        <v>-0.90674779589287502</v>
      </c>
      <c r="D85">
        <f>D81*E81*(1-COS(PI()/2))+C81*SIN(PI()/2)</f>
        <v>0.38235565817331729</v>
      </c>
      <c r="E85">
        <f>(E81^2)*(1-COS(PI()/2))+COS(PI()/2)</f>
        <v>0.17779928376195014</v>
      </c>
      <c r="G85" s="6"/>
    </row>
    <row r="86" spans="1:12" x14ac:dyDescent="0.25">
      <c r="B86" s="7"/>
      <c r="G86" s="6"/>
    </row>
    <row r="87" spans="1:12" ht="15" customHeight="1" x14ac:dyDescent="0.25">
      <c r="A87" s="67" t="s">
        <v>255</v>
      </c>
      <c r="B87" s="7"/>
      <c r="C87" t="s">
        <v>63</v>
      </c>
      <c r="D87" t="s">
        <v>64</v>
      </c>
      <c r="E87" t="s">
        <v>65</v>
      </c>
      <c r="J87" t="s">
        <v>87</v>
      </c>
      <c r="K87" t="s">
        <v>88</v>
      </c>
    </row>
    <row r="88" spans="1:12" x14ac:dyDescent="0.25">
      <c r="A88" s="67"/>
      <c r="B88" s="7" t="str">
        <f t="shared" ref="B88:B95" si="15">E11</f>
        <v>P1*</v>
      </c>
      <c r="C88">
        <f>SIN($I$24)*COS($I$25)</f>
        <v>7.0967630537830634E-6</v>
      </c>
      <c r="D88">
        <f>SIN($I$24)*SIN($I$25)</f>
        <v>0.53774429724090489</v>
      </c>
      <c r="E88">
        <f>COS($I$24)</f>
        <v>0.84310798284355093</v>
      </c>
      <c r="G88" s="6" t="s">
        <v>67</v>
      </c>
      <c r="H88">
        <f>SQRT(POWER(C88,2)+POWER(D88,2)+POWER(E88,2))</f>
        <v>1</v>
      </c>
      <c r="I88" s="6"/>
      <c r="J88">
        <f>ACOS((C88*C92+D88*D92+E88*E92)/(SQRT(C88^2+D88^2+E88^2)*SQRT(C92^2+D92^2+E92^2)))</f>
        <v>1.3117473209476436</v>
      </c>
      <c r="K88">
        <f>DEGREES(J88)</f>
        <v>75.157585277892622</v>
      </c>
      <c r="L88" t="s">
        <v>251</v>
      </c>
    </row>
    <row r="89" spans="1:12" x14ac:dyDescent="0.25">
      <c r="A89" s="36"/>
      <c r="B89" s="7" t="str">
        <f t="shared" si="15"/>
        <v>P2*</v>
      </c>
      <c r="C89">
        <f>SIN($I$24+C77)*COS($I$25)</f>
        <v>1.3081637136419393E-5</v>
      </c>
      <c r="D89">
        <f>SIN($I$24+C77)*SIN($I$25)</f>
        <v>0.99123723243577311</v>
      </c>
      <c r="E89">
        <f>COS($I$24+C77)</f>
        <v>-0.13209371242394449</v>
      </c>
      <c r="G89" s="6" t="s">
        <v>68</v>
      </c>
      <c r="H89">
        <f t="shared" ref="H89:H95" si="16">SQRT(POWER(C89,2)+POWER(D89,2)+POWER(E89,2))</f>
        <v>0.99999999999999989</v>
      </c>
      <c r="J89">
        <f>ACOS((C89*C88+D89*D88+E89*E88)/(SQRT(C89^2+D89^2+E89^2)*SQRT(C88^2+D88^2+E88^2)))</f>
        <v>1.1355178738942133</v>
      </c>
      <c r="K89">
        <f>DEGREES(J89)</f>
        <v>65.060381735806871</v>
      </c>
      <c r="L89" t="s">
        <v>81</v>
      </c>
    </row>
    <row r="90" spans="1:12" x14ac:dyDescent="0.25">
      <c r="B90" s="7" t="str">
        <f t="shared" si="15"/>
        <v>P3*</v>
      </c>
      <c r="C90">
        <f>-(C92*C83+D92*D83+E92*E83)</f>
        <v>-0.95272268804760341</v>
      </c>
      <c r="D90">
        <f>-(C92*C84+D92*D84+E92*E84)</f>
        <v>0.27551111432659187</v>
      </c>
      <c r="E90">
        <f>-(C92*C85+D92*D85+E92*E85)</f>
        <v>0.12811364315274443</v>
      </c>
      <c r="G90" s="6" t="s">
        <v>69</v>
      </c>
      <c r="H90">
        <f t="shared" si="16"/>
        <v>1</v>
      </c>
      <c r="J90">
        <f>ACOS((C89*C93+D89*D93+E89*E93)/(SQRT(C89^2+D89^2+E89^2)*SQRT(C93^2+D93^2+E93^2)))</f>
        <v>1.3117473209476436</v>
      </c>
      <c r="K90">
        <f>DEGREES(J90)</f>
        <v>75.157585277892622</v>
      </c>
      <c r="L90" t="s">
        <v>252</v>
      </c>
    </row>
    <row r="91" spans="1:12" x14ac:dyDescent="0.25">
      <c r="B91" s="7" t="str">
        <f t="shared" si="15"/>
        <v>P4*</v>
      </c>
      <c r="C91">
        <f>-(C93*C83+D93*D83+E93*E83)</f>
        <v>0.95272995971139118</v>
      </c>
      <c r="D91">
        <f>-(C93*C84+D93*D84+E93*E84)</f>
        <v>0.27548596753094756</v>
      </c>
      <c r="E91">
        <f>-(C93*C85+D93*D85+E93*E85)</f>
        <v>0.12811364315274432</v>
      </c>
      <c r="G91" s="6" t="s">
        <v>70</v>
      </c>
      <c r="H91">
        <f t="shared" si="16"/>
        <v>1</v>
      </c>
    </row>
    <row r="92" spans="1:12" x14ac:dyDescent="0.25">
      <c r="B92" s="7" t="str">
        <f t="shared" si="15"/>
        <v>P5*</v>
      </c>
      <c r="C92">
        <f>SIN($I$24-C76)*COS($I$25)</f>
        <v>-8.9375625489483837E-6</v>
      </c>
      <c r="D92">
        <f>SIN($I$24-C76)*SIN($I$25)</f>
        <v>-0.67722752690311183</v>
      </c>
      <c r="E92">
        <f>COS($I$24-C76)</f>
        <v>0.73577365862391064</v>
      </c>
      <c r="G92" s="6" t="s">
        <v>71</v>
      </c>
      <c r="H92">
        <f t="shared" si="16"/>
        <v>1</v>
      </c>
      <c r="J92">
        <f>ACOS((C90*C94+D90*D94+E90*E94)/(SQRT(C90^2+D90^2+E90^2)*SQRT(C94^2+D94^2+E94^2)))</f>
        <v>1.3117473209476436</v>
      </c>
      <c r="K92">
        <f>DEGREES(J92)</f>
        <v>75.157585277892622</v>
      </c>
      <c r="L92" t="s">
        <v>253</v>
      </c>
    </row>
    <row r="93" spans="1:12" x14ac:dyDescent="0.25">
      <c r="B93" s="7" t="str">
        <f t="shared" si="15"/>
        <v>P6*</v>
      </c>
      <c r="C93">
        <f>SIN($I$24+C76+C77)*COS($I$25)</f>
        <v>1.6658987612855876E-6</v>
      </c>
      <c r="D93">
        <f>SIN($I$24+C76+C77)*SIN($I$25)</f>
        <v>0.12623044504557249</v>
      </c>
      <c r="E93">
        <f>COS($I$24+C76+C77)</f>
        <v>-0.9920009449293995</v>
      </c>
      <c r="G93" s="6" t="s">
        <v>142</v>
      </c>
      <c r="H93">
        <f t="shared" si="16"/>
        <v>1</v>
      </c>
      <c r="J93">
        <f>ACOS((C95*C94+D95*D94+E95*E94)/(SQRT(C95^2+D95^2+E95^2)*SQRT(C94^2+D94^2+E94^2)))</f>
        <v>1.1355178738942131</v>
      </c>
      <c r="K93">
        <f>DEGREES(J93)</f>
        <v>65.060381735806857</v>
      </c>
      <c r="L93" t="s">
        <v>151</v>
      </c>
    </row>
    <row r="94" spans="1:12" x14ac:dyDescent="0.25">
      <c r="B94" s="7" t="str">
        <f t="shared" si="15"/>
        <v>P7*</v>
      </c>
      <c r="C94">
        <f>-(C88*C83+D88*D83+E88*E83)</f>
        <v>-0.53775403118331666</v>
      </c>
      <c r="D94">
        <f>-(C88*C84+D88*D84+E88*E84)</f>
        <v>-0.7644836680799737</v>
      </c>
      <c r="E94">
        <f>-(C88*C85+D88*D85+E88*E85)</f>
        <v>-0.35550713520980304</v>
      </c>
      <c r="G94" s="6" t="s">
        <v>143</v>
      </c>
      <c r="H94">
        <f t="shared" si="16"/>
        <v>1</v>
      </c>
      <c r="J94">
        <f>ACOS((C91*C95+D91*D95+E91*E95)/(SQRT(C91^2+D91^2+E91^2)*SQRT(C95^2+D95^2+E95^2)))</f>
        <v>1.3117473209476436</v>
      </c>
      <c r="K94">
        <f>DEGREES(J94)</f>
        <v>75.157585277892622</v>
      </c>
      <c r="L94" t="s">
        <v>254</v>
      </c>
    </row>
    <row r="95" spans="1:12" x14ac:dyDescent="0.25">
      <c r="B95" s="7" t="str">
        <f t="shared" si="15"/>
        <v>P8*</v>
      </c>
      <c r="C95">
        <f>-(C89*C83+D89*D83+E89*E83)</f>
        <v>0.53773385278312613</v>
      </c>
      <c r="D95">
        <f>-(C89*C84+D89*D84+E89*E84)</f>
        <v>-0.76449786159670452</v>
      </c>
      <c r="E95">
        <f>-(C89*C85+D89*D85+E89*E85)</f>
        <v>-0.35550713520980309</v>
      </c>
      <c r="G95" s="6" t="s">
        <v>144</v>
      </c>
      <c r="H95">
        <f t="shared" si="16"/>
        <v>1</v>
      </c>
    </row>
    <row r="96" spans="1:12" x14ac:dyDescent="0.25">
      <c r="B96" s="7"/>
      <c r="G96" s="6"/>
    </row>
    <row r="97" spans="1:12" x14ac:dyDescent="0.25">
      <c r="A97" s="82" t="s">
        <v>256</v>
      </c>
      <c r="B97" s="7"/>
      <c r="C97" t="s">
        <v>282</v>
      </c>
      <c r="E97" t="s">
        <v>281</v>
      </c>
      <c r="G97" s="6"/>
    </row>
    <row r="98" spans="1:12" x14ac:dyDescent="0.25">
      <c r="A98" s="82"/>
      <c r="B98" s="7" t="s">
        <v>258</v>
      </c>
      <c r="C98">
        <f>E98*I27</f>
        <v>1.859618893880379</v>
      </c>
      <c r="D98" s="7"/>
      <c r="E98">
        <f>SQRT(0^2+1^2+C71^2)</f>
        <v>1.8596211353397591</v>
      </c>
      <c r="G98" s="6"/>
    </row>
    <row r="99" spans="1:12" x14ac:dyDescent="0.25">
      <c r="B99" s="7" t="s">
        <v>257</v>
      </c>
      <c r="C99">
        <f>E99*(2-I27)</f>
        <v>1.3531379079036456</v>
      </c>
      <c r="D99" s="7"/>
      <c r="E99">
        <f>SQRT(C73^2+0^2+C72^2)</f>
        <v>1.3531362769262694</v>
      </c>
      <c r="G99" s="6"/>
    </row>
    <row r="100" spans="1:12" x14ac:dyDescent="0.25">
      <c r="B100" s="7"/>
      <c r="G100" s="6"/>
      <c r="J100" t="s">
        <v>50</v>
      </c>
      <c r="K100">
        <f>AVERAGE(H101:H108)</f>
        <v>1</v>
      </c>
    </row>
    <row r="101" spans="1:12" ht="15" customHeight="1" x14ac:dyDescent="0.25">
      <c r="A101" s="67" t="s">
        <v>266</v>
      </c>
      <c r="B101" s="7" t="str">
        <f t="shared" ref="B101:B108" si="17">B88</f>
        <v>P1*</v>
      </c>
      <c r="C101">
        <f t="shared" ref="C101:E102" si="18">(C88*$C$98)/(($C$98+$C$99)/2)</f>
        <v>8.2155453863665209E-6</v>
      </c>
      <c r="D101">
        <f t="shared" si="18"/>
        <v>0.62251799119704276</v>
      </c>
      <c r="E101">
        <f t="shared" si="18"/>
        <v>0.97602129959330797</v>
      </c>
      <c r="G101" s="6" t="s">
        <v>67</v>
      </c>
      <c r="H101">
        <f>SQRT(POWER(C101,2)+POWER(D101,2)+POWER(E101,2))</f>
        <v>1.1576468488668323</v>
      </c>
      <c r="I101" s="6"/>
      <c r="J101">
        <f>ACOS((C101*C105+D101*D105+E101*E105)/(SQRT(C101^2+D101^2+E101^2)*SQRT(C105^2+D105^2+E105^2)))</f>
        <v>1.3117473209476436</v>
      </c>
      <c r="K101">
        <f>DEGREES(J101)</f>
        <v>75.157585277892622</v>
      </c>
      <c r="L101" t="s">
        <v>251</v>
      </c>
    </row>
    <row r="102" spans="1:12" x14ac:dyDescent="0.25">
      <c r="A102" s="67"/>
      <c r="B102" s="7" t="str">
        <f t="shared" si="17"/>
        <v>P2*</v>
      </c>
      <c r="C102">
        <f t="shared" si="18"/>
        <v>1.5143916008995239E-5</v>
      </c>
      <c r="D102">
        <f t="shared" si="18"/>
        <v>1.1475026586087524</v>
      </c>
      <c r="E102">
        <f t="shared" si="18"/>
        <v>-0.15291786994270087</v>
      </c>
      <c r="G102" s="6" t="s">
        <v>68</v>
      </c>
      <c r="H102">
        <f t="shared" ref="H102:H108" si="19">SQRT(POWER(C102,2)+POWER(D102,2)+POWER(E102,2))</f>
        <v>1.1576468488668321</v>
      </c>
      <c r="J102">
        <f>ACOS((C102*C101+D102*D101+E102*E101)/(SQRT(C102^2+D102^2+E102^2)*SQRT(C101^2+D101^2+E101^2)))</f>
        <v>1.1355178738942133</v>
      </c>
      <c r="K102">
        <f>DEGREES(J102)</f>
        <v>65.060381735806871</v>
      </c>
      <c r="L102" t="s">
        <v>81</v>
      </c>
    </row>
    <row r="103" spans="1:12" x14ac:dyDescent="0.25">
      <c r="A103" s="67"/>
      <c r="B103" s="7" t="str">
        <f t="shared" si="17"/>
        <v>P3*</v>
      </c>
      <c r="C103">
        <f t="shared" ref="C103:E106" si="20">(C90*$C$99)/(($C$98+$C$99)/2)</f>
        <v>-0.80252895843296079</v>
      </c>
      <c r="D103">
        <f t="shared" si="20"/>
        <v>0.2320776553252151</v>
      </c>
      <c r="E103">
        <f t="shared" si="20"/>
        <v>0.10791693101286445</v>
      </c>
      <c r="G103" s="6" t="s">
        <v>69</v>
      </c>
      <c r="H103">
        <f t="shared" si="19"/>
        <v>0.84235315113316789</v>
      </c>
      <c r="J103">
        <f>ACOS((C102*C106+D102*D106+E102*E106)/(SQRT(C102^2+D102^2+E102^2)*SQRT(C106^2+D106^2+E106^2)))</f>
        <v>1.3117473209476436</v>
      </c>
      <c r="K103">
        <f>DEGREES(J103)</f>
        <v>75.157585277892622</v>
      </c>
      <c r="L103" t="s">
        <v>252</v>
      </c>
    </row>
    <row r="104" spans="1:12" x14ac:dyDescent="0.25">
      <c r="A104" s="67"/>
      <c r="B104" s="7" t="str">
        <f t="shared" si="17"/>
        <v>P4*</v>
      </c>
      <c r="C104">
        <f t="shared" si="20"/>
        <v>0.80253508374186633</v>
      </c>
      <c r="D104">
        <f t="shared" si="20"/>
        <v>0.23205647284266323</v>
      </c>
      <c r="E104">
        <f t="shared" si="20"/>
        <v>0.10791693101286436</v>
      </c>
      <c r="G104" s="6" t="s">
        <v>70</v>
      </c>
      <c r="H104">
        <f t="shared" si="19"/>
        <v>0.84235315113316778</v>
      </c>
    </row>
    <row r="105" spans="1:12" x14ac:dyDescent="0.25">
      <c r="B105" s="7" t="str">
        <f t="shared" si="17"/>
        <v>P5*</v>
      </c>
      <c r="C105">
        <f t="shared" si="20"/>
        <v>-7.528583976556458E-6</v>
      </c>
      <c r="D105">
        <f t="shared" si="20"/>
        <v>-0.57046474132095837</v>
      </c>
      <c r="E105">
        <f t="shared" si="20"/>
        <v>0.61978125986263077</v>
      </c>
      <c r="G105" s="6" t="s">
        <v>71</v>
      </c>
      <c r="H105">
        <f t="shared" si="19"/>
        <v>0.84235315113316778</v>
      </c>
      <c r="J105">
        <f>ACOS((C103*C107+D103*D107+E103*E107)/(SQRT(C103^2+D103^2+E103^2)*SQRT(C107^2+D107^2+E107^2)))</f>
        <v>1.3117473209476436</v>
      </c>
      <c r="K105">
        <f>DEGREES(J105)</f>
        <v>75.157585277892622</v>
      </c>
      <c r="L105" t="s">
        <v>253</v>
      </c>
    </row>
    <row r="106" spans="1:12" x14ac:dyDescent="0.25">
      <c r="B106" s="7" t="str">
        <f t="shared" si="17"/>
        <v>P6*</v>
      </c>
      <c r="C106">
        <f t="shared" si="20"/>
        <v>1.4032750710377555E-6</v>
      </c>
      <c r="D106">
        <f t="shared" si="20"/>
        <v>0.10633061315308015</v>
      </c>
      <c r="E106">
        <f t="shared" si="20"/>
        <v>-0.83561512188835962</v>
      </c>
      <c r="G106" s="6" t="s">
        <v>142</v>
      </c>
      <c r="H106">
        <f t="shared" si="19"/>
        <v>0.84235315113316767</v>
      </c>
      <c r="J106">
        <f>ACOS((C108*C107+D108*D107+E108*E107)/(SQRT(C108^2+D108^2+E108^2)*SQRT(C107^2+D107^2+E107^2)))</f>
        <v>1.1355178738942133</v>
      </c>
      <c r="K106">
        <f>DEGREES(J106)</f>
        <v>65.060381735806871</v>
      </c>
      <c r="L106" t="s">
        <v>151</v>
      </c>
    </row>
    <row r="107" spans="1:12" x14ac:dyDescent="0.25">
      <c r="B107" s="7" t="str">
        <f t="shared" si="17"/>
        <v>P7*</v>
      </c>
      <c r="C107">
        <f t="shared" ref="C107:E108" si="21">(C94*$C$98)/(($C$98+$C$99)/2)</f>
        <v>-0.62252925966480288</v>
      </c>
      <c r="D107">
        <f t="shared" si="21"/>
        <v>-0.88500210936293888</v>
      </c>
      <c r="E107">
        <f t="shared" si="21"/>
        <v>-0.41155171482530334</v>
      </c>
      <c r="G107" s="6" t="s">
        <v>143</v>
      </c>
      <c r="H107">
        <f t="shared" si="19"/>
        <v>1.1576468488668323</v>
      </c>
      <c r="J107">
        <f>ACOS((C104*C108+D104*D108+E104*E108)/(SQRT(C104^2+D104^2+E104^2)*SQRT(C108^2+D108^2+E108^2)))</f>
        <v>1.3117473209476436</v>
      </c>
      <c r="K107">
        <f>DEGREES(J107)</f>
        <v>75.157585277892622</v>
      </c>
      <c r="L107" t="s">
        <v>254</v>
      </c>
    </row>
    <row r="108" spans="1:12" x14ac:dyDescent="0.25">
      <c r="B108" s="7" t="str">
        <f t="shared" si="17"/>
        <v>P8*</v>
      </c>
      <c r="C108">
        <f t="shared" si="21"/>
        <v>0.62250590020340701</v>
      </c>
      <c r="D108">
        <f t="shared" si="21"/>
        <v>-0.88501854044285655</v>
      </c>
      <c r="E108">
        <f t="shared" si="21"/>
        <v>-0.41155171482530339</v>
      </c>
      <c r="G108" s="6" t="s">
        <v>144</v>
      </c>
      <c r="H108">
        <f t="shared" si="19"/>
        <v>1.1576468488668321</v>
      </c>
    </row>
    <row r="109" spans="1:12" x14ac:dyDescent="0.25">
      <c r="B109" s="7"/>
      <c r="G109" s="6"/>
    </row>
    <row r="110" spans="1:12" x14ac:dyDescent="0.25">
      <c r="A110" s="12" t="s">
        <v>86</v>
      </c>
      <c r="B110" s="7" t="s">
        <v>73</v>
      </c>
      <c r="C110">
        <f t="shared" ref="C110:E117" si="22">C101-C62</f>
        <v>8.2155453862685989E-6</v>
      </c>
      <c r="D110">
        <f t="shared" si="22"/>
        <v>-2.2084230189012288E-7</v>
      </c>
      <c r="E110">
        <f t="shared" si="22"/>
        <v>-1.2532769620987594E-6</v>
      </c>
      <c r="G110" s="6" t="s">
        <v>78</v>
      </c>
      <c r="H110">
        <f t="shared" ref="H110:H117" si="23">SQRT(POWER(C110,2)+POWER(D110,2)+POWER(E110,2))</f>
        <v>8.3135227466983501E-6</v>
      </c>
    </row>
    <row r="111" spans="1:12" x14ac:dyDescent="0.25">
      <c r="B111" s="7" t="s">
        <v>74</v>
      </c>
      <c r="C111">
        <f t="shared" si="22"/>
        <v>1.5143916008973583E-5</v>
      </c>
      <c r="D111">
        <f t="shared" si="22"/>
        <v>1.7700208706480971</v>
      </c>
      <c r="E111">
        <f t="shared" si="22"/>
        <v>-1.1289404228129709</v>
      </c>
      <c r="G111" s="6" t="s">
        <v>78</v>
      </c>
      <c r="H111">
        <f t="shared" si="23"/>
        <v>2.0994000002430018</v>
      </c>
    </row>
    <row r="112" spans="1:12" x14ac:dyDescent="0.25">
      <c r="B112" s="7" t="s">
        <v>75</v>
      </c>
      <c r="C112">
        <f t="shared" si="22"/>
        <v>-1.6050598597791295</v>
      </c>
      <c r="D112">
        <f t="shared" si="22"/>
        <v>0.2320776553252151</v>
      </c>
      <c r="E112">
        <f t="shared" si="22"/>
        <v>-0.14801470721780693</v>
      </c>
      <c r="G112" s="6" t="s">
        <v>78</v>
      </c>
      <c r="H112">
        <f t="shared" si="23"/>
        <v>1.6284918007556015</v>
      </c>
    </row>
    <row r="113" spans="1:12" x14ac:dyDescent="0.25">
      <c r="B113" s="7" t="s">
        <v>76</v>
      </c>
      <c r="C113">
        <f t="shared" si="22"/>
        <v>1.6050659850880349</v>
      </c>
      <c r="D113">
        <f t="shared" si="22"/>
        <v>0.23205647284266323</v>
      </c>
      <c r="E113">
        <f t="shared" si="22"/>
        <v>-0.14801470721780702</v>
      </c>
      <c r="G113" s="6" t="s">
        <v>78</v>
      </c>
      <c r="H113">
        <f t="shared" si="23"/>
        <v>1.6284948193431794</v>
      </c>
    </row>
    <row r="114" spans="1:12" x14ac:dyDescent="0.25">
      <c r="B114" s="7" t="s">
        <v>77</v>
      </c>
      <c r="C114">
        <f t="shared" si="22"/>
        <v>-7.5285839765899412E-6</v>
      </c>
      <c r="D114">
        <f t="shared" si="22"/>
        <v>-1.372995642667127</v>
      </c>
      <c r="E114">
        <f t="shared" si="22"/>
        <v>0.87571289809330222</v>
      </c>
      <c r="G114" s="6" t="s">
        <v>78</v>
      </c>
      <c r="H114">
        <f t="shared" si="23"/>
        <v>1.6284932037704569</v>
      </c>
    </row>
    <row r="115" spans="1:12" x14ac:dyDescent="0.25">
      <c r="B115" s="7" t="s">
        <v>103</v>
      </c>
      <c r="C115">
        <f t="shared" si="22"/>
        <v>1.4032750711025942E-6</v>
      </c>
      <c r="D115">
        <f t="shared" si="22"/>
        <v>0.90886151449924868</v>
      </c>
      <c r="E115">
        <f t="shared" si="22"/>
        <v>-0.57968348365768829</v>
      </c>
      <c r="G115" s="6" t="s">
        <v>78</v>
      </c>
      <c r="H115">
        <f t="shared" si="23"/>
        <v>1.0779898857435308</v>
      </c>
    </row>
    <row r="116" spans="1:12" x14ac:dyDescent="0.25">
      <c r="B116" s="7" t="s">
        <v>170</v>
      </c>
      <c r="C116">
        <f t="shared" si="22"/>
        <v>-1.2450474717041475</v>
      </c>
      <c r="D116">
        <f t="shared" si="22"/>
        <v>-0.88500210936293877</v>
      </c>
      <c r="E116">
        <f t="shared" si="22"/>
        <v>0.56447083804496678</v>
      </c>
      <c r="G116" s="6" t="s">
        <v>78</v>
      </c>
      <c r="H116">
        <f t="shared" si="23"/>
        <v>1.6284960139272457</v>
      </c>
    </row>
    <row r="117" spans="1:12" x14ac:dyDescent="0.25">
      <c r="B117" s="7" t="s">
        <v>171</v>
      </c>
      <c r="C117">
        <f t="shared" si="22"/>
        <v>1.2450241122427517</v>
      </c>
      <c r="D117">
        <f t="shared" si="22"/>
        <v>-0.88501854044285644</v>
      </c>
      <c r="E117">
        <f t="shared" si="22"/>
        <v>0.56447083804496667</v>
      </c>
      <c r="G117" s="6" t="s">
        <v>78</v>
      </c>
      <c r="H117">
        <f t="shared" si="23"/>
        <v>1.6284870843812802</v>
      </c>
    </row>
    <row r="119" spans="1:12" x14ac:dyDescent="0.25">
      <c r="A119" s="67" t="s">
        <v>162</v>
      </c>
      <c r="C119">
        <f>(C88^2)*(1-COS($I$26))+COS($I$26)</f>
        <v>-0.99999999986979149</v>
      </c>
      <c r="D119">
        <f>C88*D88*(1-COS($I$26))-E88*SIN($I$26)</f>
        <v>1.4106377878356708E-5</v>
      </c>
      <c r="E119">
        <f>C88*E88*(1-COS($I$26))+D88*SIN($I$26)</f>
        <v>7.8375510400743928E-6</v>
      </c>
    </row>
    <row r="120" spans="1:12" x14ac:dyDescent="0.25">
      <c r="A120" s="68"/>
      <c r="B120" t="s">
        <v>237</v>
      </c>
      <c r="C120">
        <f>D88*C88*(1-COS($I$26))+E88*SIN($I$26)</f>
        <v>1.1585975655854494E-6</v>
      </c>
      <c r="D120">
        <f>(D88^2)*(1-COS($I$26))+COS($I$26)</f>
        <v>-0.42166214154881509</v>
      </c>
      <c r="E120">
        <f>D88*E88*(1-COS($I$26))-C88*SIN($I$26)</f>
        <v>0.90675301950593179</v>
      </c>
    </row>
    <row r="121" spans="1:12" x14ac:dyDescent="0.25">
      <c r="C121">
        <f>E88*C88*(1-COS($I$26))-D88*SIN($I$26)</f>
        <v>1.6095799291547534E-5</v>
      </c>
      <c r="D121">
        <f>D88*E88*(1-COS($I$26))+C88*SIN($I$26)</f>
        <v>0.90675301939694541</v>
      </c>
      <c r="E121">
        <f>(E88^2)*(1-COS($I$26))+COS($I$26)</f>
        <v>0.42166214147756742</v>
      </c>
    </row>
    <row r="122" spans="1:12" x14ac:dyDescent="0.25">
      <c r="J122" t="s">
        <v>87</v>
      </c>
      <c r="K122" t="s">
        <v>88</v>
      </c>
    </row>
    <row r="123" spans="1:12" x14ac:dyDescent="0.25">
      <c r="A123" s="19" t="s">
        <v>238</v>
      </c>
      <c r="B123" t="str">
        <f t="shared" ref="B123:B130" si="24">B88</f>
        <v>P1*</v>
      </c>
      <c r="C123">
        <f>C101*$C$119+D101*$D$119+E101*$E$119</f>
        <v>8.2155453863665226E-6</v>
      </c>
      <c r="D123">
        <f>C101*$C$120+D101*$D$120+E101*$E$120</f>
        <v>0.62251799119704265</v>
      </c>
      <c r="E123">
        <f>C101*$C$121+D101*$D$121+E101*$E$121</f>
        <v>0.97602129959330808</v>
      </c>
      <c r="G123" t="str">
        <f>G88</f>
        <v>length of vector P1*</v>
      </c>
      <c r="H123">
        <f>SQRT(POWER(C123,2)+POWER(D123,2)+POWER(E123,2))</f>
        <v>1.1576468488668323</v>
      </c>
      <c r="J123">
        <f t="shared" ref="J123:J130" si="25">ACOS((C123*C124+D123*D124+E123*E124)/(SQRT(C123^2+D123^2+E123^2)*SQRT(C124^2+D124^2+E124^2)))</f>
        <v>1.1355178738942131</v>
      </c>
      <c r="K123">
        <f t="shared" ref="K123:K130" si="26">DEGREES(J123)</f>
        <v>65.060381735806857</v>
      </c>
      <c r="L123" t="str">
        <f t="shared" ref="L123:L130" si="27">L88</f>
        <v>P5 P1</v>
      </c>
    </row>
    <row r="124" spans="1:12" x14ac:dyDescent="0.25">
      <c r="B124" t="str">
        <f t="shared" si="24"/>
        <v>P2*</v>
      </c>
      <c r="C124">
        <f t="shared" ref="C124:C130" si="28">C102*$C$119+D102*$D$119+E102*$E$119</f>
        <v>-1.5531149888473228E-7</v>
      </c>
      <c r="D124">
        <f t="shared" ref="D124:D130" si="29">C102*$C$120+D102*$D$120+E102*$E$120</f>
        <v>-0.62251716875133911</v>
      </c>
      <c r="E124">
        <f t="shared" ref="E124:E130" si="30">C102*$C$121+D102*$D$121+E102*$E$121</f>
        <v>0.97602182419303474</v>
      </c>
      <c r="G124" s="6" t="s">
        <v>67</v>
      </c>
      <c r="H124">
        <f>SQRT(POWER(C124,2)+POWER(D124,2)+POWER(E124,2))</f>
        <v>1.1576468488668323</v>
      </c>
      <c r="J124">
        <f t="shared" si="25"/>
        <v>1.3117473209476431</v>
      </c>
      <c r="K124">
        <f t="shared" si="26"/>
        <v>75.157585277892593</v>
      </c>
      <c r="L124" t="str">
        <f t="shared" si="27"/>
        <v>P1 P2</v>
      </c>
    </row>
    <row r="125" spans="1:12" x14ac:dyDescent="0.25">
      <c r="B125" t="str">
        <f t="shared" si="24"/>
        <v>P3*</v>
      </c>
      <c r="C125">
        <f t="shared" si="28"/>
        <v>0.80253307790802275</v>
      </c>
      <c r="D125">
        <f t="shared" si="29"/>
        <v>-5.2879064273564369E-6</v>
      </c>
      <c r="E125">
        <f t="shared" si="30"/>
        <v>0.25592868158823312</v>
      </c>
      <c r="G125" s="6" t="s">
        <v>68</v>
      </c>
      <c r="H125">
        <f t="shared" ref="H125:H130" si="31">SQRT(POWER(C125,2)+POWER(D125,2)+POWER(E125,2))</f>
        <v>0.84235315113316789</v>
      </c>
      <c r="J125">
        <f t="shared" si="25"/>
        <v>2.524172791390086</v>
      </c>
      <c r="K125">
        <f t="shared" si="26"/>
        <v>144.6244477084079</v>
      </c>
      <c r="L125" t="str">
        <f t="shared" si="27"/>
        <v>P2 P6</v>
      </c>
    </row>
    <row r="126" spans="1:12" x14ac:dyDescent="0.25">
      <c r="B126" t="str">
        <f t="shared" si="24"/>
        <v>P4*</v>
      </c>
      <c r="C126">
        <f t="shared" si="28"/>
        <v>-0.80253096435661953</v>
      </c>
      <c r="D126">
        <f t="shared" si="29"/>
        <v>5.5035678205861416E-6</v>
      </c>
      <c r="E126">
        <f t="shared" si="30"/>
        <v>0.25593530909689377</v>
      </c>
      <c r="G126" s="6" t="s">
        <v>69</v>
      </c>
      <c r="H126">
        <f t="shared" si="31"/>
        <v>0.84235315113316778</v>
      </c>
      <c r="J126">
        <f t="shared" si="25"/>
        <v>1.6632404923045596</v>
      </c>
      <c r="K126">
        <f t="shared" si="26"/>
        <v>95.296660524312543</v>
      </c>
      <c r="L126">
        <f t="shared" si="27"/>
        <v>0</v>
      </c>
    </row>
    <row r="127" spans="1:12" ht="15" customHeight="1" x14ac:dyDescent="0.25">
      <c r="B127" t="str">
        <f t="shared" si="24"/>
        <v>P5*</v>
      </c>
      <c r="C127">
        <f t="shared" si="28"/>
        <v>4.338960026078702E-6</v>
      </c>
      <c r="D127">
        <f t="shared" si="29"/>
        <v>0.80253191330839457</v>
      </c>
      <c r="E127">
        <f t="shared" si="30"/>
        <v>-0.25593233349211342</v>
      </c>
      <c r="G127" s="6" t="s">
        <v>70</v>
      </c>
      <c r="H127">
        <f t="shared" si="31"/>
        <v>0.84235315113316789</v>
      </c>
      <c r="J127">
        <f t="shared" si="25"/>
        <v>2.5241727913900851</v>
      </c>
      <c r="K127">
        <f t="shared" si="26"/>
        <v>144.62444770840787</v>
      </c>
      <c r="L127" t="str">
        <f t="shared" si="27"/>
        <v>P3 P7</v>
      </c>
    </row>
    <row r="128" spans="1:12" ht="15" customHeight="1" x14ac:dyDescent="0.25">
      <c r="B128" t="str">
        <f t="shared" si="24"/>
        <v>P6*</v>
      </c>
      <c r="C128">
        <f t="shared" si="28"/>
        <v>-6.4525114293383256E-6</v>
      </c>
      <c r="D128">
        <f t="shared" si="29"/>
        <v>-0.80253212896978787</v>
      </c>
      <c r="E128">
        <f t="shared" si="30"/>
        <v>-0.25593165719301342</v>
      </c>
      <c r="F128" s="7"/>
      <c r="G128" s="7" t="str">
        <f>G93</f>
        <v>length of vector P6*</v>
      </c>
      <c r="H128">
        <f t="shared" si="31"/>
        <v>0.84235315113316778</v>
      </c>
      <c r="J128">
        <f t="shared" si="25"/>
        <v>1.3117473209476436</v>
      </c>
      <c r="K128">
        <f t="shared" si="26"/>
        <v>75.157585277892622</v>
      </c>
      <c r="L128" t="str">
        <f t="shared" si="27"/>
        <v>P7 P8</v>
      </c>
    </row>
    <row r="129" spans="1:12" ht="15" customHeight="1" x14ac:dyDescent="0.25">
      <c r="B129" t="str">
        <f t="shared" si="24"/>
        <v>P7*</v>
      </c>
      <c r="C129">
        <f t="shared" si="28"/>
        <v>0.62251354985199592</v>
      </c>
      <c r="D129">
        <f t="shared" si="29"/>
        <v>-4.5966523772311696E-6</v>
      </c>
      <c r="E129">
        <f t="shared" si="30"/>
        <v>-0.97602413234552976</v>
      </c>
      <c r="F129" s="7"/>
      <c r="G129" s="7" t="str">
        <f>G94</f>
        <v>length of vector P7*</v>
      </c>
      <c r="H129">
        <f t="shared" si="31"/>
        <v>1.1576468488668326</v>
      </c>
      <c r="J129">
        <f t="shared" si="25"/>
        <v>1.1355178738942133</v>
      </c>
      <c r="K129">
        <f t="shared" si="26"/>
        <v>65.060381735806871</v>
      </c>
      <c r="L129" t="str">
        <f t="shared" si="27"/>
        <v>P8 P4</v>
      </c>
    </row>
    <row r="130" spans="1:12" ht="15" customHeight="1" x14ac:dyDescent="0.25">
      <c r="B130" t="str">
        <f t="shared" si="24"/>
        <v>P8*</v>
      </c>
      <c r="C130">
        <f t="shared" si="28"/>
        <v>-0.6225216100858828</v>
      </c>
      <c r="D130">
        <f t="shared" si="29"/>
        <v>3.7742066740786839E-6</v>
      </c>
      <c r="E130">
        <f t="shared" si="30"/>
        <v>-0.97601899144081294</v>
      </c>
      <c r="F130" s="7"/>
      <c r="G130" s="7" t="str">
        <f>G95</f>
        <v>length of vector P8*</v>
      </c>
      <c r="H130">
        <f t="shared" si="31"/>
        <v>1.1576468488668321</v>
      </c>
      <c r="J130" t="e">
        <f t="shared" si="25"/>
        <v>#DIV/0!</v>
      </c>
      <c r="K130" t="e">
        <f t="shared" si="26"/>
        <v>#DIV/0!</v>
      </c>
      <c r="L130">
        <f t="shared" si="27"/>
        <v>0</v>
      </c>
    </row>
    <row r="131" spans="1:12" x14ac:dyDescent="0.25">
      <c r="B131" s="7"/>
      <c r="C131" s="7"/>
      <c r="D131" s="7"/>
      <c r="E131" s="7"/>
      <c r="G131" s="6"/>
    </row>
    <row r="132" spans="1:12" x14ac:dyDescent="0.25">
      <c r="A132" s="12" t="s">
        <v>86</v>
      </c>
      <c r="B132" t="str">
        <f t="shared" ref="B132:B139" si="32">B110</f>
        <v>P1*-P1</v>
      </c>
      <c r="C132">
        <f t="shared" ref="C132:E139" si="33">C123-C62</f>
        <v>8.2155453862686005E-6</v>
      </c>
      <c r="D132">
        <f t="shared" si="33"/>
        <v>-2.2084230200114519E-7</v>
      </c>
      <c r="E132">
        <f t="shared" si="33"/>
        <v>-1.2532769619877371E-6</v>
      </c>
      <c r="G132" s="6" t="s">
        <v>78</v>
      </c>
      <c r="H132">
        <f t="shared" ref="H132:H137" si="34">SQRT(POWER(C132,2)+POWER(D132,2)+POWER(E132,2))</f>
        <v>8.3135227466845638E-6</v>
      </c>
    </row>
    <row r="133" spans="1:12" x14ac:dyDescent="0.25">
      <c r="B133" t="str">
        <f t="shared" si="32"/>
        <v>P2*-P2</v>
      </c>
      <c r="C133">
        <f t="shared" si="33"/>
        <v>-1.5531149890638705E-7</v>
      </c>
      <c r="D133">
        <f t="shared" si="33"/>
        <v>1.0432880055422089E-6</v>
      </c>
      <c r="E133">
        <f t="shared" si="33"/>
        <v>-7.2867723532876738E-7</v>
      </c>
      <c r="G133" s="6" t="s">
        <v>78</v>
      </c>
      <c r="H133">
        <f t="shared" si="34"/>
        <v>1.2820070348820885E-6</v>
      </c>
    </row>
    <row r="134" spans="1:12" x14ac:dyDescent="0.25">
      <c r="B134" t="str">
        <f t="shared" si="32"/>
        <v>P3*-P3</v>
      </c>
      <c r="C134">
        <f t="shared" si="33"/>
        <v>2.1765618541946807E-6</v>
      </c>
      <c r="D134">
        <f t="shared" si="33"/>
        <v>-5.2879064273697836E-6</v>
      </c>
      <c r="E134">
        <f t="shared" si="33"/>
        <v>-2.9566424382676537E-6</v>
      </c>
      <c r="G134" s="6" t="s">
        <v>78</v>
      </c>
      <c r="H134">
        <f t="shared" si="34"/>
        <v>6.4374770211255398E-6</v>
      </c>
    </row>
    <row r="135" spans="1:12" x14ac:dyDescent="0.25">
      <c r="B135" t="str">
        <f t="shared" si="32"/>
        <v>P4*-P4</v>
      </c>
      <c r="C135">
        <f t="shared" si="33"/>
        <v>-6.3010450968015164E-8</v>
      </c>
      <c r="D135">
        <f t="shared" si="33"/>
        <v>5.5035678205727949E-6</v>
      </c>
      <c r="E135">
        <f t="shared" si="33"/>
        <v>3.6708662223827737E-6</v>
      </c>
      <c r="G135" s="6" t="s">
        <v>78</v>
      </c>
      <c r="H135">
        <f t="shared" si="34"/>
        <v>6.6157756835617051E-6</v>
      </c>
    </row>
    <row r="136" spans="1:12" x14ac:dyDescent="0.25">
      <c r="B136" t="str">
        <f t="shared" si="32"/>
        <v>P5*-P5</v>
      </c>
      <c r="C136">
        <f t="shared" si="33"/>
        <v>4.3389600260452188E-6</v>
      </c>
      <c r="D136">
        <f t="shared" si="33"/>
        <v>1.0119622260162942E-6</v>
      </c>
      <c r="E136">
        <f t="shared" si="33"/>
        <v>-6.952614420296932E-7</v>
      </c>
      <c r="G136" s="6" t="s">
        <v>78</v>
      </c>
      <c r="H136">
        <f t="shared" si="34"/>
        <v>4.5093270148965006E-6</v>
      </c>
    </row>
    <row r="137" spans="1:12" x14ac:dyDescent="0.25">
      <c r="B137" t="str">
        <f t="shared" si="32"/>
        <v>P6*-P6</v>
      </c>
      <c r="C137">
        <f t="shared" si="33"/>
        <v>-6.4525114292734869E-6</v>
      </c>
      <c r="D137">
        <f t="shared" si="33"/>
        <v>-1.2276236193153878E-6</v>
      </c>
      <c r="E137">
        <f t="shared" si="33"/>
        <v>-1.8962342029915646E-8</v>
      </c>
      <c r="G137" s="6" t="s">
        <v>78</v>
      </c>
      <c r="H137">
        <f t="shared" si="34"/>
        <v>6.5682815915596407E-6</v>
      </c>
    </row>
    <row r="138" spans="1:12" x14ac:dyDescent="0.25">
      <c r="B138" t="str">
        <f t="shared" si="32"/>
        <v>P7*-P7</v>
      </c>
      <c r="C138">
        <f t="shared" si="33"/>
        <v>-4.6621873487362464E-6</v>
      </c>
      <c r="D138">
        <f t="shared" si="33"/>
        <v>-4.5966523771690499E-6</v>
      </c>
      <c r="E138">
        <f t="shared" si="33"/>
        <v>-1.5794752596942629E-6</v>
      </c>
      <c r="G138" s="6" t="s">
        <v>78</v>
      </c>
      <c r="H138">
        <f>SQRT(POWER(C138,2)+POWER(D138,2)+POWER(E138,2))</f>
        <v>6.7349792907800724E-6</v>
      </c>
    </row>
    <row r="139" spans="1:12" x14ac:dyDescent="0.25">
      <c r="B139" t="str">
        <f t="shared" si="32"/>
        <v>P8*-P8</v>
      </c>
      <c r="C139">
        <f t="shared" si="33"/>
        <v>-3.3980465381500125E-6</v>
      </c>
      <c r="D139">
        <f t="shared" si="33"/>
        <v>3.7742066741408036E-6</v>
      </c>
      <c r="E139">
        <f t="shared" si="33"/>
        <v>3.5614294571217897E-6</v>
      </c>
      <c r="G139" s="6" t="s">
        <v>78</v>
      </c>
      <c r="H139">
        <f>SQRT(POWER(C139,2)+POWER(D139,2)+POWER(E139,2))</f>
        <v>6.2028329070366776E-6</v>
      </c>
    </row>
    <row r="140" spans="1:12" x14ac:dyDescent="0.25">
      <c r="B140" s="7"/>
      <c r="G140" s="6"/>
    </row>
    <row r="141" spans="1:12" x14ac:dyDescent="0.25">
      <c r="A141" s="19" t="s">
        <v>316</v>
      </c>
      <c r="B141" s="7" t="s">
        <v>204</v>
      </c>
      <c r="C141">
        <v>0</v>
      </c>
      <c r="D141">
        <v>0</v>
      </c>
      <c r="E141">
        <v>0</v>
      </c>
    </row>
    <row r="142" spans="1:12" x14ac:dyDescent="0.25">
      <c r="B142" t="str">
        <f t="shared" ref="B142:B149" si="35">B123</f>
        <v>P1*</v>
      </c>
      <c r="C142">
        <f t="shared" ref="C142:E148" si="36">C123*$K$53</f>
        <v>1.319727716792851E-5</v>
      </c>
      <c r="D142">
        <f t="shared" si="36"/>
        <v>0.99999964524362861</v>
      </c>
      <c r="E142">
        <f t="shared" si="36"/>
        <v>1.5678598323989614</v>
      </c>
    </row>
    <row r="143" spans="1:12" x14ac:dyDescent="0.25">
      <c r="B143" t="str">
        <f t="shared" si="35"/>
        <v>P2*</v>
      </c>
      <c r="C143">
        <f t="shared" si="36"/>
        <v>-2.4948908462603533E-7</v>
      </c>
      <c r="D143">
        <f t="shared" si="36"/>
        <v>-0.99999832408436351</v>
      </c>
      <c r="E143">
        <f t="shared" si="36"/>
        <v>1.5678606751047917</v>
      </c>
    </row>
    <row r="144" spans="1:12" x14ac:dyDescent="0.25">
      <c r="B144" t="str">
        <f t="shared" si="35"/>
        <v>P3*</v>
      </c>
      <c r="C144">
        <f t="shared" si="36"/>
        <v>1.2891720473188353</v>
      </c>
      <c r="D144">
        <f t="shared" si="36"/>
        <v>-8.4943802849292828E-6</v>
      </c>
      <c r="E144">
        <f t="shared" si="36"/>
        <v>0.41111838439203413</v>
      </c>
    </row>
    <row r="145" spans="1:5" x14ac:dyDescent="0.25">
      <c r="B145" t="str">
        <f t="shared" si="35"/>
        <v>P4*</v>
      </c>
      <c r="C145">
        <f t="shared" si="36"/>
        <v>-1.2891686521548666</v>
      </c>
      <c r="D145">
        <f t="shared" si="36"/>
        <v>8.8408141547484591E-6</v>
      </c>
      <c r="E145">
        <f t="shared" si="36"/>
        <v>0.41112903068082129</v>
      </c>
    </row>
    <row r="146" spans="1:5" x14ac:dyDescent="0.25">
      <c r="B146" t="str">
        <f t="shared" si="35"/>
        <v>P5*</v>
      </c>
      <c r="C146">
        <f t="shared" si="36"/>
        <v>6.9700129926551756E-6</v>
      </c>
      <c r="D146">
        <f t="shared" si="36"/>
        <v>1.2891701765307912</v>
      </c>
      <c r="E146">
        <f t="shared" si="36"/>
        <v>-0.41112425073266429</v>
      </c>
    </row>
    <row r="147" spans="1:5" x14ac:dyDescent="0.25">
      <c r="B147" t="str">
        <f t="shared" si="35"/>
        <v>P6*</v>
      </c>
      <c r="C147">
        <f t="shared" si="36"/>
        <v>-1.0365176961168987E-5</v>
      </c>
      <c r="D147">
        <f t="shared" si="36"/>
        <v>-1.2891705229646613</v>
      </c>
      <c r="E147">
        <f t="shared" si="36"/>
        <v>-0.41112316434019108</v>
      </c>
    </row>
    <row r="148" spans="1:5" x14ac:dyDescent="0.25">
      <c r="B148" t="str">
        <f t="shared" si="35"/>
        <v>P7*</v>
      </c>
      <c r="C148">
        <f>C129*$K$53</f>
        <v>0.99999251076151896</v>
      </c>
      <c r="D148">
        <f t="shared" si="36"/>
        <v>-7.3839644982798509E-6</v>
      </c>
      <c r="E148">
        <f t="shared" si="36"/>
        <v>-1.5678643828718102</v>
      </c>
    </row>
    <row r="149" spans="1:5" x14ac:dyDescent="0.25">
      <c r="B149" t="str">
        <f t="shared" si="35"/>
        <v>P8*</v>
      </c>
      <c r="C149">
        <f>C130*$K$53</f>
        <v>-1.0000054585496012</v>
      </c>
      <c r="D149">
        <f>D130*$K$53</f>
        <v>6.0628052337851034E-6</v>
      </c>
      <c r="E149">
        <f>E130*$K$53</f>
        <v>-1.5678561246319427</v>
      </c>
    </row>
    <row r="151" spans="1:5" x14ac:dyDescent="0.25">
      <c r="A151" s="19" t="s">
        <v>317</v>
      </c>
      <c r="B151" t="s">
        <v>204</v>
      </c>
      <c r="C151">
        <f>C141+$C$49</f>
        <v>0</v>
      </c>
      <c r="D151">
        <f>D141+$D$49</f>
        <v>3.7447816444839679E-18</v>
      </c>
      <c r="E151">
        <f>E141+$E$49</f>
        <v>0</v>
      </c>
    </row>
    <row r="152" spans="1:5" x14ac:dyDescent="0.25">
      <c r="B152" t="str">
        <f t="shared" ref="B152:B159" si="37">B142</f>
        <v>P1*</v>
      </c>
      <c r="C152">
        <f t="shared" ref="C152:C159" si="38">C142+$C$49</f>
        <v>1.319727716792851E-5</v>
      </c>
      <c r="D152">
        <f t="shared" ref="D152:D159" si="39">D142+$D$49</f>
        <v>0.99999964524362861</v>
      </c>
      <c r="E152">
        <f t="shared" ref="E152:E159" si="40">E142+$E$49</f>
        <v>1.5678598323989614</v>
      </c>
    </row>
    <row r="153" spans="1:5" x14ac:dyDescent="0.25">
      <c r="B153" t="str">
        <f t="shared" si="37"/>
        <v>P2*</v>
      </c>
      <c r="C153">
        <f t="shared" si="38"/>
        <v>-2.4948908462603533E-7</v>
      </c>
      <c r="D153">
        <f t="shared" si="39"/>
        <v>-0.99999832408436351</v>
      </c>
      <c r="E153">
        <f t="shared" si="40"/>
        <v>1.5678606751047917</v>
      </c>
    </row>
    <row r="154" spans="1:5" x14ac:dyDescent="0.25">
      <c r="B154" t="str">
        <f t="shared" si="37"/>
        <v>P3*</v>
      </c>
      <c r="C154">
        <f t="shared" si="38"/>
        <v>1.2891720473188353</v>
      </c>
      <c r="D154">
        <f t="shared" si="39"/>
        <v>-8.4943802849255372E-6</v>
      </c>
      <c r="E154">
        <f t="shared" si="40"/>
        <v>0.41111838439203413</v>
      </c>
    </row>
    <row r="155" spans="1:5" x14ac:dyDescent="0.25">
      <c r="B155" t="str">
        <f t="shared" si="37"/>
        <v>P4*</v>
      </c>
      <c r="C155">
        <f t="shared" si="38"/>
        <v>-1.2891686521548666</v>
      </c>
      <c r="D155">
        <f t="shared" si="39"/>
        <v>8.8408141547522047E-6</v>
      </c>
      <c r="E155">
        <f t="shared" si="40"/>
        <v>0.41112903068082129</v>
      </c>
    </row>
    <row r="156" spans="1:5" x14ac:dyDescent="0.25">
      <c r="B156" t="str">
        <f t="shared" si="37"/>
        <v>P5*</v>
      </c>
      <c r="C156">
        <f t="shared" si="38"/>
        <v>6.9700129926551756E-6</v>
      </c>
      <c r="D156">
        <f t="shared" si="39"/>
        <v>1.2891701765307912</v>
      </c>
      <c r="E156">
        <f t="shared" si="40"/>
        <v>-0.41112425073266429</v>
      </c>
    </row>
    <row r="157" spans="1:5" x14ac:dyDescent="0.25">
      <c r="B157" t="str">
        <f t="shared" si="37"/>
        <v>P6*</v>
      </c>
      <c r="C157">
        <f t="shared" si="38"/>
        <v>-1.0365176961168987E-5</v>
      </c>
      <c r="D157">
        <f t="shared" si="39"/>
        <v>-1.2891705229646613</v>
      </c>
      <c r="E157">
        <f t="shared" si="40"/>
        <v>-0.41112316434019108</v>
      </c>
    </row>
    <row r="158" spans="1:5" x14ac:dyDescent="0.25">
      <c r="B158" t="str">
        <f t="shared" si="37"/>
        <v>P7*</v>
      </c>
      <c r="C158">
        <f t="shared" si="38"/>
        <v>0.99999251076151896</v>
      </c>
      <c r="D158">
        <f t="shared" si="39"/>
        <v>-7.3839644982761062E-6</v>
      </c>
      <c r="E158">
        <f t="shared" si="40"/>
        <v>-1.5678643828718102</v>
      </c>
    </row>
    <row r="159" spans="1:5" x14ac:dyDescent="0.25">
      <c r="B159" t="str">
        <f t="shared" si="37"/>
        <v>P8*</v>
      </c>
      <c r="C159">
        <f t="shared" si="38"/>
        <v>-1.0000054585496012</v>
      </c>
      <c r="D159">
        <f t="shared" si="39"/>
        <v>6.0628052337888482E-6</v>
      </c>
      <c r="E159">
        <f t="shared" si="40"/>
        <v>-1.5678561246319427</v>
      </c>
    </row>
  </sheetData>
  <mergeCells count="28">
    <mergeCell ref="A39:A40"/>
    <mergeCell ref="G39:H39"/>
    <mergeCell ref="B2:D2"/>
    <mergeCell ref="F3:G5"/>
    <mergeCell ref="E8:H8"/>
    <mergeCell ref="E32:F32"/>
    <mergeCell ref="D21:F21"/>
    <mergeCell ref="E33:F33"/>
    <mergeCell ref="E29:F30"/>
    <mergeCell ref="A33:C34"/>
    <mergeCell ref="H30:J34"/>
    <mergeCell ref="B8:D8"/>
    <mergeCell ref="E34:F34"/>
    <mergeCell ref="D25:F25"/>
    <mergeCell ref="H21:J22"/>
    <mergeCell ref="G43:H43"/>
    <mergeCell ref="A71:A72"/>
    <mergeCell ref="D71:F71"/>
    <mergeCell ref="G71:H71"/>
    <mergeCell ref="D72:F72"/>
    <mergeCell ref="D73:E73"/>
    <mergeCell ref="A119:A120"/>
    <mergeCell ref="A79:A80"/>
    <mergeCell ref="B79:B80"/>
    <mergeCell ref="A83:A84"/>
    <mergeCell ref="A87:A88"/>
    <mergeCell ref="A97:A98"/>
    <mergeCell ref="A101:A104"/>
  </mergeCells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4"/>
  <sheetViews>
    <sheetView topLeftCell="A12" workbookViewId="0">
      <selection activeCell="G84" sqref="G84"/>
    </sheetView>
  </sheetViews>
  <sheetFormatPr baseColWidth="10" defaultRowHeight="15" x14ac:dyDescent="0.25"/>
  <cols>
    <col min="1" max="1" width="26.7109375" customWidth="1"/>
    <col min="2" max="12" width="13.7109375" customWidth="1"/>
    <col min="13" max="13" width="12" bestFit="1" customWidth="1"/>
  </cols>
  <sheetData>
    <row r="1" spans="1:11" x14ac:dyDescent="0.25">
      <c r="A1" t="s">
        <v>0</v>
      </c>
    </row>
    <row r="2" spans="1:11" x14ac:dyDescent="0.25">
      <c r="A2" s="29"/>
      <c r="B2" s="69" t="s">
        <v>134</v>
      </c>
      <c r="C2" s="70"/>
      <c r="D2" s="70"/>
    </row>
    <row r="3" spans="1:11" ht="15" customHeight="1" x14ac:dyDescent="0.25">
      <c r="A3" t="s">
        <v>1</v>
      </c>
      <c r="F3" s="75" t="s">
        <v>315</v>
      </c>
      <c r="G3" s="76"/>
    </row>
    <row r="4" spans="1:11" x14ac:dyDescent="0.25">
      <c r="A4" t="s">
        <v>2</v>
      </c>
      <c r="B4" s="1">
        <v>100</v>
      </c>
      <c r="C4" s="43" t="s">
        <v>51</v>
      </c>
      <c r="D4" s="1">
        <v>90</v>
      </c>
      <c r="F4" s="76"/>
      <c r="G4" s="76"/>
    </row>
    <row r="5" spans="1:11" ht="15" customHeight="1" x14ac:dyDescent="0.25">
      <c r="A5" t="s">
        <v>3</v>
      </c>
      <c r="B5" s="1">
        <v>100</v>
      </c>
      <c r="C5" s="43" t="s">
        <v>52</v>
      </c>
      <c r="D5" s="1">
        <v>90</v>
      </c>
      <c r="F5" s="76"/>
      <c r="G5" s="76"/>
    </row>
    <row r="6" spans="1:11" x14ac:dyDescent="0.25">
      <c r="A6" t="s">
        <v>4</v>
      </c>
      <c r="B6" s="1">
        <v>100</v>
      </c>
      <c r="C6" s="43" t="s">
        <v>53</v>
      </c>
      <c r="D6" s="1">
        <v>90</v>
      </c>
    </row>
    <row r="8" spans="1:11" x14ac:dyDescent="0.25">
      <c r="B8" s="65" t="s">
        <v>287</v>
      </c>
      <c r="C8" s="65"/>
      <c r="D8" s="65"/>
      <c r="E8" s="77" t="s">
        <v>286</v>
      </c>
      <c r="F8" s="80"/>
      <c r="G8" s="80"/>
      <c r="H8" s="80"/>
    </row>
    <row r="9" spans="1:11" x14ac:dyDescent="0.25">
      <c r="A9" t="s">
        <v>5</v>
      </c>
      <c r="B9" s="47" t="s">
        <v>6</v>
      </c>
      <c r="C9" s="47" t="s">
        <v>7</v>
      </c>
      <c r="D9" s="47" t="s">
        <v>8</v>
      </c>
      <c r="E9" s="48"/>
      <c r="F9" s="48" t="s">
        <v>6</v>
      </c>
      <c r="G9" s="48" t="s">
        <v>7</v>
      </c>
      <c r="H9" s="48" t="s">
        <v>8</v>
      </c>
    </row>
    <row r="10" spans="1:11" x14ac:dyDescent="0.25">
      <c r="A10" t="s">
        <v>96</v>
      </c>
      <c r="B10" s="1">
        <v>0</v>
      </c>
      <c r="C10" s="1">
        <v>0</v>
      </c>
      <c r="D10" s="1">
        <v>0.5</v>
      </c>
      <c r="E10" s="14" t="s">
        <v>82</v>
      </c>
      <c r="F10" s="12">
        <f t="shared" ref="F10:F16" si="0">C118*$G$48+D118*$H$48+E118*$I$48</f>
        <v>-3.06287113727155E-17</v>
      </c>
      <c r="G10" s="12">
        <f t="shared" ref="G10:G16" si="1">C118*$G$49+D118*$H$49+E118*$I$49</f>
        <v>-3.06287113727155E-17</v>
      </c>
      <c r="H10" s="12">
        <f t="shared" ref="H10:H16" si="2">C118*$G$50+D118*$H$50+E118*$I$50</f>
        <v>0.5</v>
      </c>
    </row>
    <row r="11" spans="1:11" x14ac:dyDescent="0.25">
      <c r="A11" t="s">
        <v>9</v>
      </c>
      <c r="B11" s="1">
        <v>0</v>
      </c>
      <c r="C11" s="1">
        <v>1</v>
      </c>
      <c r="D11" s="1">
        <v>0.01</v>
      </c>
      <c r="E11" s="15" t="s">
        <v>58</v>
      </c>
      <c r="F11" s="28">
        <f t="shared" si="0"/>
        <v>4.1008915014534798E-6</v>
      </c>
      <c r="G11" s="28">
        <f t="shared" si="1"/>
        <v>0.99998614100056316</v>
      </c>
      <c r="H11" s="28">
        <f t="shared" si="2"/>
        <v>1.0001648604898605E-2</v>
      </c>
    </row>
    <row r="12" spans="1:11" x14ac:dyDescent="0.25">
      <c r="A12" t="s">
        <v>10</v>
      </c>
      <c r="B12" s="10">
        <v>0.86599999999999999</v>
      </c>
      <c r="C12" s="1">
        <v>-0.5</v>
      </c>
      <c r="D12" s="1">
        <v>0.01</v>
      </c>
      <c r="E12" s="15" t="s">
        <v>59</v>
      </c>
      <c r="F12" s="28">
        <f t="shared" si="0"/>
        <v>0.86601630989294376</v>
      </c>
      <c r="G12" s="28">
        <f t="shared" si="1"/>
        <v>-0.49999288873496756</v>
      </c>
      <c r="H12" s="28">
        <f t="shared" si="2"/>
        <v>1.000660331612245E-2</v>
      </c>
      <c r="K12" s="4"/>
    </row>
    <row r="13" spans="1:11" x14ac:dyDescent="0.25">
      <c r="A13" t="s">
        <v>11</v>
      </c>
      <c r="B13" s="22">
        <v>-0.86599999999999999</v>
      </c>
      <c r="C13" s="23">
        <v>-0.5</v>
      </c>
      <c r="D13" s="23">
        <v>0.01</v>
      </c>
      <c r="E13" s="24" t="s">
        <v>60</v>
      </c>
      <c r="F13" s="27">
        <f t="shared" si="0"/>
        <v>-0.86600973946412951</v>
      </c>
      <c r="G13" s="27">
        <f t="shared" si="1"/>
        <v>-0.499991946861022</v>
      </c>
      <c r="H13" s="27">
        <f t="shared" si="2"/>
        <v>9.9940298248112919E-3</v>
      </c>
      <c r="K13" s="4"/>
    </row>
    <row r="14" spans="1:11" x14ac:dyDescent="0.25">
      <c r="A14" t="s">
        <v>12</v>
      </c>
      <c r="B14" s="1">
        <v>0</v>
      </c>
      <c r="C14" s="1">
        <v>1</v>
      </c>
      <c r="D14" s="1">
        <v>0.99</v>
      </c>
      <c r="E14" s="15" t="s">
        <v>61</v>
      </c>
      <c r="F14" s="28">
        <f t="shared" si="0"/>
        <v>-3.013322042310489E-6</v>
      </c>
      <c r="G14" s="28">
        <f t="shared" si="1"/>
        <v>0.9999852707308472</v>
      </c>
      <c r="H14" s="28">
        <f t="shared" si="2"/>
        <v>0.99000012744101074</v>
      </c>
    </row>
    <row r="15" spans="1:11" x14ac:dyDescent="0.25">
      <c r="A15" t="s">
        <v>13</v>
      </c>
      <c r="B15" s="1">
        <v>0.86599999999999999</v>
      </c>
      <c r="C15" s="1">
        <v>-0.5</v>
      </c>
      <c r="D15" s="1">
        <v>0.99</v>
      </c>
      <c r="E15" s="15" t="s">
        <v>62</v>
      </c>
      <c r="F15" s="28">
        <f t="shared" si="0"/>
        <v>0.86600919567940005</v>
      </c>
      <c r="G15" s="28">
        <f t="shared" si="1"/>
        <v>-0.49999375900468329</v>
      </c>
      <c r="H15" s="28">
        <f t="shared" si="2"/>
        <v>0.99000508215223426</v>
      </c>
    </row>
    <row r="16" spans="1:11" x14ac:dyDescent="0.25">
      <c r="A16" t="s">
        <v>98</v>
      </c>
      <c r="B16" s="1">
        <v>-0.86599999999999999</v>
      </c>
      <c r="C16" s="1">
        <v>-0.5</v>
      </c>
      <c r="D16" s="1">
        <v>0.99</v>
      </c>
      <c r="E16" s="16" t="s">
        <v>99</v>
      </c>
      <c r="F16" s="28">
        <f t="shared" si="0"/>
        <v>-0.86601685367767334</v>
      </c>
      <c r="G16" s="28">
        <f t="shared" si="1"/>
        <v>-0.49999281713073807</v>
      </c>
      <c r="H16" s="28">
        <f t="shared" si="2"/>
        <v>0.98999250866092303</v>
      </c>
    </row>
    <row r="17" spans="1:12" x14ac:dyDescent="0.25">
      <c r="G17" s="2"/>
    </row>
    <row r="19" spans="1:12" ht="15" customHeight="1" x14ac:dyDescent="0.25">
      <c r="A19" t="s">
        <v>57</v>
      </c>
      <c r="B19" t="s">
        <v>17</v>
      </c>
      <c r="D19" s="61" t="s">
        <v>18</v>
      </c>
      <c r="E19" s="61"/>
      <c r="F19" s="61"/>
    </row>
    <row r="20" spans="1:12" x14ac:dyDescent="0.25">
      <c r="A20" t="s">
        <v>19</v>
      </c>
      <c r="B20" s="13">
        <f t="shared" ref="B20:B25" si="3">H103*100</f>
        <v>1.3062968342711528E-3</v>
      </c>
      <c r="C20" t="s">
        <v>210</v>
      </c>
      <c r="D20" t="s">
        <v>20</v>
      </c>
      <c r="E20" s="3">
        <f>(AVERAGE(B20:B25))</f>
        <v>1.4151061342416822E-3</v>
      </c>
      <c r="F20" t="s">
        <v>210</v>
      </c>
      <c r="H20" s="66" t="s">
        <v>318</v>
      </c>
      <c r="I20" s="66"/>
      <c r="J20" s="66"/>
    </row>
    <row r="21" spans="1:12" x14ac:dyDescent="0.25">
      <c r="A21" t="s">
        <v>22</v>
      </c>
      <c r="B21" s="13">
        <f t="shared" si="3"/>
        <v>1.7042781947042751E-3</v>
      </c>
      <c r="C21" t="s">
        <v>210</v>
      </c>
      <c r="D21" t="s">
        <v>23</v>
      </c>
      <c r="E21">
        <f>E20*K55/100</f>
        <v>1.5758404017755326E-3</v>
      </c>
      <c r="F21" t="s">
        <v>24</v>
      </c>
      <c r="H21" s="66"/>
      <c r="I21" s="66"/>
      <c r="J21" s="66"/>
    </row>
    <row r="22" spans="1:12" x14ac:dyDescent="0.25">
      <c r="A22" t="s">
        <v>25</v>
      </c>
      <c r="B22" s="13">
        <f t="shared" si="3"/>
        <v>1.2551251972317036E-3</v>
      </c>
      <c r="C22" t="s">
        <v>210</v>
      </c>
      <c r="H22" t="s">
        <v>56</v>
      </c>
      <c r="I22" s="4" t="s">
        <v>29</v>
      </c>
      <c r="J22" s="4" t="s">
        <v>30</v>
      </c>
    </row>
    <row r="23" spans="1:12" x14ac:dyDescent="0.25">
      <c r="A23" t="s">
        <v>26</v>
      </c>
      <c r="B23" s="13">
        <f t="shared" si="3"/>
        <v>1.3501339216033228E-3</v>
      </c>
      <c r="C23" t="s">
        <v>210</v>
      </c>
      <c r="D23" s="65" t="s">
        <v>207</v>
      </c>
      <c r="E23" s="65"/>
      <c r="F23" s="65"/>
      <c r="H23" s="9" t="s">
        <v>54</v>
      </c>
      <c r="I23" s="5">
        <v>2.0264161267374527</v>
      </c>
      <c r="J23">
        <f>DEGREES(I23)</f>
        <v>116.10509159930338</v>
      </c>
    </row>
    <row r="24" spans="1:12" ht="15" customHeight="1" x14ac:dyDescent="0.25">
      <c r="A24" t="s">
        <v>28</v>
      </c>
      <c r="B24" s="13">
        <f t="shared" si="3"/>
        <v>1.0973953888538137E-3</v>
      </c>
      <c r="C24" t="s">
        <v>210</v>
      </c>
      <c r="D24" t="s">
        <v>20</v>
      </c>
      <c r="E24">
        <f>E25/K55*100</f>
        <v>3.889739399241859E-15</v>
      </c>
      <c r="F24" t="s">
        <v>210</v>
      </c>
      <c r="H24" s="9" t="s">
        <v>55</v>
      </c>
      <c r="I24" s="5">
        <v>1.5707922258465601</v>
      </c>
      <c r="J24">
        <f>DEGREES(I24)</f>
        <v>89.999765032968313</v>
      </c>
    </row>
    <row r="25" spans="1:12" x14ac:dyDescent="0.25">
      <c r="A25" t="s">
        <v>100</v>
      </c>
      <c r="B25" s="13">
        <f t="shared" si="3"/>
        <v>1.7774072687858251E-3</v>
      </c>
      <c r="C25" t="s">
        <v>210</v>
      </c>
      <c r="D25" t="s">
        <v>23</v>
      </c>
      <c r="E25">
        <f>H54</f>
        <v>4.3315539021305319E-15</v>
      </c>
      <c r="F25" t="s">
        <v>24</v>
      </c>
      <c r="H25" s="9" t="s">
        <v>79</v>
      </c>
      <c r="I25" s="5">
        <v>6.2831772230977228</v>
      </c>
      <c r="J25">
        <f>DEGREES(I25)</f>
        <v>359.99953681622799</v>
      </c>
    </row>
    <row r="26" spans="1:12" x14ac:dyDescent="0.25">
      <c r="H26" s="9" t="s">
        <v>185</v>
      </c>
      <c r="I26" s="5">
        <v>5.3719439311973547</v>
      </c>
      <c r="J26">
        <f>DEGREES(I26)</f>
        <v>307.78971503852432</v>
      </c>
    </row>
    <row r="27" spans="1:12" x14ac:dyDescent="0.25">
      <c r="D27" s="65" t="s">
        <v>367</v>
      </c>
      <c r="E27" s="65"/>
      <c r="F27" s="65"/>
    </row>
    <row r="28" spans="1:12" x14ac:dyDescent="0.25">
      <c r="D28" t="s">
        <v>20</v>
      </c>
      <c r="E28">
        <f>E29/K55*100</f>
        <v>88.0039537901839</v>
      </c>
      <c r="F28" t="s">
        <v>210</v>
      </c>
      <c r="G28" s="65" t="s">
        <v>368</v>
      </c>
      <c r="H28" s="65"/>
    </row>
    <row r="29" spans="1:12" x14ac:dyDescent="0.25">
      <c r="D29" t="s">
        <v>23</v>
      </c>
      <c r="E29">
        <f>K112</f>
        <v>97.999847886232104</v>
      </c>
      <c r="F29" t="s">
        <v>24</v>
      </c>
      <c r="G29">
        <f>E28/E32</f>
        <v>0.5658104733471695</v>
      </c>
    </row>
    <row r="30" spans="1:12" x14ac:dyDescent="0.25">
      <c r="H30" t="s">
        <v>369</v>
      </c>
    </row>
    <row r="31" spans="1:12" x14ac:dyDescent="0.25">
      <c r="D31" s="65" t="s">
        <v>370</v>
      </c>
      <c r="E31" s="65"/>
      <c r="F31" s="65"/>
      <c r="H31" t="s">
        <v>371</v>
      </c>
    </row>
    <row r="32" spans="1:12" x14ac:dyDescent="0.25">
      <c r="D32" t="s">
        <v>20</v>
      </c>
      <c r="E32">
        <f>E33/K55*100</f>
        <v>155.53609898660628</v>
      </c>
      <c r="F32" t="s">
        <v>210</v>
      </c>
      <c r="K32" s="4"/>
      <c r="L32" s="4"/>
    </row>
    <row r="33" spans="1:13" x14ac:dyDescent="0.25">
      <c r="D33" t="s">
        <v>23</v>
      </c>
      <c r="E33">
        <f>K111</f>
        <v>173.20260494029677</v>
      </c>
      <c r="F33" t="s">
        <v>24</v>
      </c>
      <c r="K33" s="4"/>
      <c r="L33" s="4"/>
    </row>
    <row r="34" spans="1:13" x14ac:dyDescent="0.25">
      <c r="H34" s="4"/>
      <c r="I34" s="4"/>
      <c r="J34" s="4"/>
      <c r="K34" s="4"/>
      <c r="L34" s="4"/>
    </row>
    <row r="35" spans="1:13" ht="15" customHeight="1" x14ac:dyDescent="0.25">
      <c r="E35" s="61" t="s">
        <v>274</v>
      </c>
      <c r="F35" s="61"/>
      <c r="K35" s="4"/>
      <c r="L35" s="4"/>
    </row>
    <row r="36" spans="1:13" x14ac:dyDescent="0.25">
      <c r="E36" s="61"/>
      <c r="F36" s="61"/>
      <c r="K36" s="4"/>
      <c r="L36" s="4"/>
    </row>
    <row r="37" spans="1:13" ht="15" customHeight="1" x14ac:dyDescent="0.25">
      <c r="A37" s="61" t="s">
        <v>275</v>
      </c>
      <c r="B37" s="61"/>
      <c r="C37" s="61"/>
      <c r="H37" s="61" t="s">
        <v>235</v>
      </c>
      <c r="I37" s="61"/>
      <c r="J37" s="61"/>
      <c r="K37" s="4"/>
      <c r="L37" s="4"/>
    </row>
    <row r="38" spans="1:13" x14ac:dyDescent="0.25">
      <c r="A38" s="61"/>
      <c r="B38" s="61"/>
      <c r="C38" s="61"/>
      <c r="D38" s="2" t="s">
        <v>14</v>
      </c>
      <c r="E38" s="71" t="s">
        <v>15</v>
      </c>
      <c r="F38" s="71"/>
      <c r="H38" s="61"/>
      <c r="I38" s="61"/>
      <c r="J38" s="61"/>
      <c r="K38" s="4"/>
      <c r="L38" s="4"/>
    </row>
    <row r="39" spans="1:13" x14ac:dyDescent="0.25">
      <c r="D39" s="2"/>
      <c r="E39" s="72" t="s">
        <v>16</v>
      </c>
      <c r="F39" s="72"/>
      <c r="H39" s="61"/>
      <c r="I39" s="61"/>
      <c r="J39" s="61"/>
      <c r="K39" s="4"/>
      <c r="L39" s="4"/>
    </row>
    <row r="40" spans="1:13" x14ac:dyDescent="0.25">
      <c r="D40" s="2"/>
      <c r="E40" s="73" t="s">
        <v>307</v>
      </c>
      <c r="F40" s="74"/>
      <c r="H40" s="61"/>
      <c r="I40" s="61"/>
      <c r="J40" s="61"/>
      <c r="K40" s="4"/>
      <c r="L40" s="4"/>
    </row>
    <row r="41" spans="1:13" x14ac:dyDescent="0.25">
      <c r="H41" s="61"/>
      <c r="I41" s="61"/>
      <c r="J41" s="61"/>
    </row>
    <row r="43" spans="1:13" ht="15" customHeight="1" x14ac:dyDescent="0.25">
      <c r="A43" s="68" t="s">
        <v>83</v>
      </c>
      <c r="B43" s="7"/>
      <c r="C43" s="8" t="s">
        <v>31</v>
      </c>
      <c r="D43" s="8" t="s">
        <v>32</v>
      </c>
      <c r="E43" s="8" t="s">
        <v>33</v>
      </c>
      <c r="F43" s="8"/>
      <c r="G43" s="61" t="s">
        <v>95</v>
      </c>
      <c r="H43" s="61"/>
    </row>
    <row r="44" spans="1:13" ht="15" customHeight="1" x14ac:dyDescent="0.25">
      <c r="A44" s="68"/>
      <c r="B44" t="s">
        <v>82</v>
      </c>
      <c r="C44">
        <f t="shared" ref="C44:C50" si="4">B10*$G$44+C10*$H$44+D10*$I$44</f>
        <v>3.06287113727155E-15</v>
      </c>
      <c r="D44">
        <f t="shared" ref="D44:D50" si="5">B10*$G$45+C10*$H$45+D10*$I$45</f>
        <v>3.06287113727155E-15</v>
      </c>
      <c r="E44">
        <f t="shared" ref="E44:E50" si="6">B10*$G$46+C10*$H$46+D10*$I$46</f>
        <v>50</v>
      </c>
      <c r="G44">
        <f>B4</f>
        <v>100</v>
      </c>
      <c r="H44">
        <f>B5*(COS(M46))</f>
        <v>6.1257422745431001E-15</v>
      </c>
      <c r="I44">
        <f>B6*(COS(M45))</f>
        <v>6.1257422745431001E-15</v>
      </c>
      <c r="K44" t="s">
        <v>51</v>
      </c>
      <c r="L44">
        <f>D4</f>
        <v>90</v>
      </c>
      <c r="M44">
        <f>RADIANS(L44)</f>
        <v>1.5707963267948966</v>
      </c>
    </row>
    <row r="45" spans="1:13" x14ac:dyDescent="0.25">
      <c r="B45" t="str">
        <f t="shared" ref="B45:B50" si="7">A20</f>
        <v>P1</v>
      </c>
      <c r="C45">
        <f t="shared" si="4"/>
        <v>6.1869996972885311E-15</v>
      </c>
      <c r="D45">
        <f t="shared" si="5"/>
        <v>100</v>
      </c>
      <c r="E45">
        <f t="shared" si="6"/>
        <v>1</v>
      </c>
      <c r="G45">
        <f>0</f>
        <v>0</v>
      </c>
      <c r="H45">
        <f>B5*(SIN(M46))</f>
        <v>100</v>
      </c>
      <c r="I45">
        <f>(B6*(COS(M44)-COS(M45)*COS(M46)))/(SIN(M46))</f>
        <v>6.1257422745431001E-15</v>
      </c>
      <c r="K45" t="s">
        <v>93</v>
      </c>
      <c r="L45">
        <f>D5</f>
        <v>90</v>
      </c>
      <c r="M45">
        <f>RADIANS(L45)</f>
        <v>1.5707963267948966</v>
      </c>
    </row>
    <row r="46" spans="1:13" x14ac:dyDescent="0.25">
      <c r="B46" t="str">
        <f t="shared" si="7"/>
        <v>P2</v>
      </c>
      <c r="C46">
        <f t="shared" si="4"/>
        <v>86.6</v>
      </c>
      <c r="D46">
        <f t="shared" si="5"/>
        <v>-50</v>
      </c>
      <c r="E46">
        <f t="shared" si="6"/>
        <v>1</v>
      </c>
      <c r="G46">
        <f>0</f>
        <v>0</v>
      </c>
      <c r="H46">
        <f>0</f>
        <v>0</v>
      </c>
      <c r="I46">
        <f>B6*(SQRT(1-POWER(COS(M45),2)-(POWER(COS(M44)-(COS(M45)*COS(M46)),2))/(POWER(SIN(M46),2))))</f>
        <v>100</v>
      </c>
      <c r="K46" t="s">
        <v>94</v>
      </c>
      <c r="L46">
        <f>D6</f>
        <v>90</v>
      </c>
      <c r="M46">
        <f>RADIANS(L46)</f>
        <v>1.5707963267948966</v>
      </c>
    </row>
    <row r="47" spans="1:13" x14ac:dyDescent="0.25">
      <c r="B47" t="str">
        <f t="shared" si="7"/>
        <v>P3</v>
      </c>
      <c r="C47">
        <f t="shared" si="4"/>
        <v>-86.6</v>
      </c>
      <c r="D47">
        <f t="shared" si="5"/>
        <v>-50</v>
      </c>
      <c r="E47">
        <f t="shared" si="6"/>
        <v>1</v>
      </c>
      <c r="G47" s="65" t="s">
        <v>272</v>
      </c>
      <c r="H47" s="65"/>
    </row>
    <row r="48" spans="1:13" x14ac:dyDescent="0.25">
      <c r="B48" t="str">
        <f t="shared" si="7"/>
        <v>P4</v>
      </c>
      <c r="C48">
        <f t="shared" si="4"/>
        <v>1.2190227126340769E-14</v>
      </c>
      <c r="D48">
        <f t="shared" si="5"/>
        <v>100</v>
      </c>
      <c r="E48">
        <f t="shared" si="6"/>
        <v>99</v>
      </c>
      <c r="G48" s="6">
        <f>1/G44</f>
        <v>0.01</v>
      </c>
      <c r="H48">
        <f>-H44/(G44*H45)</f>
        <v>-6.1257422745431004E-19</v>
      </c>
      <c r="I48">
        <f>(H44*I45)/(G44*H45*I46)-I44/(G44*I46)</f>
        <v>-6.1257422745431004E-19</v>
      </c>
    </row>
    <row r="49" spans="1:11" x14ac:dyDescent="0.25">
      <c r="B49" t="str">
        <f t="shared" si="7"/>
        <v>P5</v>
      </c>
      <c r="C49">
        <f t="shared" si="4"/>
        <v>86.6</v>
      </c>
      <c r="D49">
        <f t="shared" si="5"/>
        <v>-49.999999999999993</v>
      </c>
      <c r="E49">
        <f t="shared" si="6"/>
        <v>99</v>
      </c>
      <c r="G49" s="6">
        <f>0</f>
        <v>0</v>
      </c>
      <c r="H49" s="6">
        <f>1/H45</f>
        <v>0.01</v>
      </c>
      <c r="I49">
        <f>-I45/(H45*I46)</f>
        <v>-6.1257422745431004E-19</v>
      </c>
    </row>
    <row r="50" spans="1:11" x14ac:dyDescent="0.25">
      <c r="B50" t="str">
        <f t="shared" si="7"/>
        <v>P6</v>
      </c>
      <c r="C50">
        <f t="shared" si="4"/>
        <v>-86.6</v>
      </c>
      <c r="D50">
        <f t="shared" si="5"/>
        <v>-49.999999999999993</v>
      </c>
      <c r="E50">
        <f t="shared" si="6"/>
        <v>99</v>
      </c>
      <c r="G50" s="6">
        <f>0</f>
        <v>0</v>
      </c>
      <c r="H50">
        <f>0</f>
        <v>0</v>
      </c>
      <c r="I50" s="6">
        <f>1/I46</f>
        <v>0.01</v>
      </c>
    </row>
    <row r="51" spans="1:11" x14ac:dyDescent="0.25">
      <c r="A51" t="s">
        <v>203</v>
      </c>
      <c r="B51" t="s">
        <v>204</v>
      </c>
      <c r="C51">
        <f>AVERAGE(C45:C50)</f>
        <v>0</v>
      </c>
      <c r="D51">
        <f>AVERAGE(D45:D50)</f>
        <v>0</v>
      </c>
      <c r="E51">
        <f>AVERAGE(E45:E50)</f>
        <v>50</v>
      </c>
      <c r="G51" s="6"/>
      <c r="I51" s="6"/>
    </row>
    <row r="52" spans="1:11" x14ac:dyDescent="0.25">
      <c r="G52" s="6"/>
    </row>
    <row r="53" spans="1:11" x14ac:dyDescent="0.25">
      <c r="A53" s="12" t="s">
        <v>84</v>
      </c>
      <c r="G53" s="6"/>
    </row>
    <row r="54" spans="1:11" x14ac:dyDescent="0.25">
      <c r="A54" s="30" t="s">
        <v>211</v>
      </c>
      <c r="B54" t="s">
        <v>208</v>
      </c>
      <c r="C54">
        <f t="shared" ref="C54:E60" si="8">C44-C$51</f>
        <v>3.06287113727155E-15</v>
      </c>
      <c r="D54">
        <f t="shared" si="8"/>
        <v>3.06287113727155E-15</v>
      </c>
      <c r="E54">
        <f t="shared" si="8"/>
        <v>0</v>
      </c>
      <c r="G54" s="6" t="s">
        <v>209</v>
      </c>
      <c r="H54">
        <f>SQRT(POWER(C54,2)+POWER(D54,2)+POWER(E54,2))</f>
        <v>4.3315539021305319E-15</v>
      </c>
    </row>
    <row r="55" spans="1:11" ht="15" customHeight="1" x14ac:dyDescent="0.25">
      <c r="A55" s="4" t="s">
        <v>35</v>
      </c>
      <c r="B55" s="7" t="s">
        <v>36</v>
      </c>
      <c r="C55">
        <f t="shared" si="8"/>
        <v>6.1869996972885311E-15</v>
      </c>
      <c r="D55">
        <f t="shared" si="8"/>
        <v>100</v>
      </c>
      <c r="E55">
        <f t="shared" si="8"/>
        <v>-49</v>
      </c>
      <c r="G55" s="6" t="s">
        <v>34</v>
      </c>
      <c r="H55">
        <f t="shared" ref="H55:H60" si="9">SQRT(POWER(C55,2)+POWER(D55,2)+POWER(E55,2))</f>
        <v>111.35977729862789</v>
      </c>
      <c r="J55" s="4" t="s">
        <v>314</v>
      </c>
      <c r="K55">
        <f>AVERAGE(H55:H60)</f>
        <v>111.35846023450274</v>
      </c>
    </row>
    <row r="56" spans="1:11" x14ac:dyDescent="0.25">
      <c r="A56" s="4" t="s">
        <v>38</v>
      </c>
      <c r="B56" s="7" t="s">
        <v>39</v>
      </c>
      <c r="C56">
        <f t="shared" si="8"/>
        <v>86.6</v>
      </c>
      <c r="D56">
        <f t="shared" si="8"/>
        <v>-50</v>
      </c>
      <c r="E56">
        <f t="shared" si="8"/>
        <v>-49</v>
      </c>
      <c r="G56" s="6" t="s">
        <v>37</v>
      </c>
      <c r="H56">
        <f t="shared" si="9"/>
        <v>111.35780170244021</v>
      </c>
      <c r="J56" s="4"/>
    </row>
    <row r="57" spans="1:11" x14ac:dyDescent="0.25">
      <c r="A57" s="4" t="s">
        <v>41</v>
      </c>
      <c r="B57" s="7" t="s">
        <v>42</v>
      </c>
      <c r="C57">
        <f t="shared" si="8"/>
        <v>-86.6</v>
      </c>
      <c r="D57">
        <f t="shared" si="8"/>
        <v>-50</v>
      </c>
      <c r="E57">
        <f t="shared" si="8"/>
        <v>-49</v>
      </c>
      <c r="G57" s="6" t="s">
        <v>40</v>
      </c>
      <c r="H57">
        <f t="shared" si="9"/>
        <v>111.35780170244021</v>
      </c>
    </row>
    <row r="58" spans="1:11" x14ac:dyDescent="0.25">
      <c r="A58" s="4" t="s">
        <v>44</v>
      </c>
      <c r="B58" s="7" t="s">
        <v>45</v>
      </c>
      <c r="C58">
        <f t="shared" si="8"/>
        <v>1.2190227126340769E-14</v>
      </c>
      <c r="D58">
        <f t="shared" si="8"/>
        <v>100</v>
      </c>
      <c r="E58">
        <f t="shared" si="8"/>
        <v>49</v>
      </c>
      <c r="G58" s="6" t="s">
        <v>43</v>
      </c>
      <c r="H58">
        <f t="shared" si="9"/>
        <v>111.35977729862789</v>
      </c>
    </row>
    <row r="59" spans="1:11" x14ac:dyDescent="0.25">
      <c r="A59" s="4" t="s">
        <v>47</v>
      </c>
      <c r="B59" s="7" t="s">
        <v>48</v>
      </c>
      <c r="C59">
        <f t="shared" si="8"/>
        <v>86.6</v>
      </c>
      <c r="D59">
        <f t="shared" si="8"/>
        <v>-49.999999999999993</v>
      </c>
      <c r="E59">
        <f t="shared" si="8"/>
        <v>49</v>
      </c>
      <c r="G59" s="6" t="s">
        <v>46</v>
      </c>
      <c r="H59">
        <f t="shared" si="9"/>
        <v>111.35780170244021</v>
      </c>
    </row>
    <row r="60" spans="1:11" x14ac:dyDescent="0.25">
      <c r="A60" s="4" t="s">
        <v>101</v>
      </c>
      <c r="B60" s="7" t="s">
        <v>102</v>
      </c>
      <c r="C60">
        <f t="shared" si="8"/>
        <v>-86.6</v>
      </c>
      <c r="D60">
        <f t="shared" si="8"/>
        <v>-49.999999999999993</v>
      </c>
      <c r="E60">
        <f t="shared" si="8"/>
        <v>49</v>
      </c>
      <c r="G60" s="6" t="s">
        <v>49</v>
      </c>
      <c r="H60">
        <f t="shared" si="9"/>
        <v>111.35780170244021</v>
      </c>
    </row>
    <row r="62" spans="1:11" ht="15" customHeight="1" x14ac:dyDescent="0.25">
      <c r="A62" s="17" t="s">
        <v>157</v>
      </c>
      <c r="B62" s="7" t="str">
        <f t="shared" ref="B62:B67" si="10">B55</f>
        <v>vector P1</v>
      </c>
      <c r="C62">
        <f t="shared" ref="C62:E67" si="11">C55/$K$55</f>
        <v>5.55593143462986E-17</v>
      </c>
      <c r="D62">
        <f t="shared" si="11"/>
        <v>0.89800092233150786</v>
      </c>
      <c r="E62">
        <f t="shared" si="11"/>
        <v>-0.44002045194243883</v>
      </c>
      <c r="G62" s="6" t="s">
        <v>34</v>
      </c>
      <c r="H62">
        <f t="shared" ref="H62:H67" si="12">SQRT(POWER(C62,2)+POWER(D62,2)+POWER(E62,2))</f>
        <v>1.0000118272479916</v>
      </c>
      <c r="J62" s="4" t="s">
        <v>314</v>
      </c>
      <c r="K62">
        <f>AVERAGE(H62:H67)</f>
        <v>1.0000000000000004</v>
      </c>
    </row>
    <row r="63" spans="1:11" x14ac:dyDescent="0.25">
      <c r="A63" s="4"/>
      <c r="B63" s="7" t="str">
        <f t="shared" si="10"/>
        <v>vector P2</v>
      </c>
      <c r="C63">
        <f t="shared" si="11"/>
        <v>0.77766879873908568</v>
      </c>
      <c r="D63">
        <f t="shared" si="11"/>
        <v>-0.44900046116575393</v>
      </c>
      <c r="E63">
        <f t="shared" si="11"/>
        <v>-0.44002045194243883</v>
      </c>
      <c r="G63" s="6" t="s">
        <v>37</v>
      </c>
      <c r="H63">
        <f t="shared" si="12"/>
        <v>0.99999408637600473</v>
      </c>
      <c r="J63" s="4"/>
    </row>
    <row r="64" spans="1:11" x14ac:dyDescent="0.25">
      <c r="A64" s="4"/>
      <c r="B64" s="7" t="str">
        <f t="shared" si="10"/>
        <v>vector P3</v>
      </c>
      <c r="C64">
        <f t="shared" si="11"/>
        <v>-0.77766879873908568</v>
      </c>
      <c r="D64">
        <f t="shared" si="11"/>
        <v>-0.44900046116575393</v>
      </c>
      <c r="E64">
        <f t="shared" si="11"/>
        <v>-0.44002045194243883</v>
      </c>
      <c r="G64" s="6" t="s">
        <v>40</v>
      </c>
      <c r="H64">
        <f t="shared" si="12"/>
        <v>0.99999408637600473</v>
      </c>
    </row>
    <row r="65" spans="1:15" x14ac:dyDescent="0.25">
      <c r="A65" s="4"/>
      <c r="B65" s="7" t="str">
        <f t="shared" si="10"/>
        <v>vector P4</v>
      </c>
      <c r="C65">
        <f t="shared" si="11"/>
        <v>1.0946835202884577E-16</v>
      </c>
      <c r="D65">
        <f t="shared" si="11"/>
        <v>0.89800092233150786</v>
      </c>
      <c r="E65">
        <f t="shared" si="11"/>
        <v>0.44002045194243883</v>
      </c>
      <c r="G65" s="6" t="s">
        <v>43</v>
      </c>
      <c r="H65">
        <f t="shared" si="12"/>
        <v>1.0000118272479916</v>
      </c>
    </row>
    <row r="66" spans="1:15" x14ac:dyDescent="0.25">
      <c r="A66" s="4"/>
      <c r="B66" s="7" t="str">
        <f t="shared" si="10"/>
        <v>vector P5</v>
      </c>
      <c r="C66">
        <f t="shared" si="11"/>
        <v>0.77766879873908568</v>
      </c>
      <c r="D66">
        <f t="shared" si="11"/>
        <v>-0.44900046116575387</v>
      </c>
      <c r="E66">
        <f t="shared" si="11"/>
        <v>0.44002045194243883</v>
      </c>
      <c r="G66" s="6" t="s">
        <v>46</v>
      </c>
      <c r="H66">
        <f t="shared" si="12"/>
        <v>0.99999408637600473</v>
      </c>
    </row>
    <row r="67" spans="1:15" x14ac:dyDescent="0.25">
      <c r="B67" s="7" t="str">
        <f t="shared" si="10"/>
        <v>vector P6</v>
      </c>
      <c r="C67">
        <f t="shared" si="11"/>
        <v>-0.77766879873908568</v>
      </c>
      <c r="D67">
        <f t="shared" si="11"/>
        <v>-0.44900046116575387</v>
      </c>
      <c r="E67">
        <f t="shared" si="11"/>
        <v>0.44002045194243883</v>
      </c>
      <c r="G67" s="6" t="s">
        <v>49</v>
      </c>
      <c r="H67">
        <f t="shared" si="12"/>
        <v>0.99999408637600473</v>
      </c>
    </row>
    <row r="69" spans="1:15" x14ac:dyDescent="0.25">
      <c r="A69" s="19" t="s">
        <v>184</v>
      </c>
      <c r="B69" s="7"/>
      <c r="C69" t="s">
        <v>63</v>
      </c>
      <c r="D69" t="s">
        <v>64</v>
      </c>
      <c r="E69" t="s">
        <v>65</v>
      </c>
      <c r="J69" t="s">
        <v>87</v>
      </c>
      <c r="K69" t="s">
        <v>88</v>
      </c>
    </row>
    <row r="70" spans="1:15" x14ac:dyDescent="0.25">
      <c r="B70" s="7" t="str">
        <f t="shared" ref="B70:B75" si="13">E11</f>
        <v>P1*</v>
      </c>
      <c r="C70">
        <f>SIN($I$23)*COS($I$24)</f>
        <v>3.6826043507422249E-6</v>
      </c>
      <c r="D70">
        <f>SIN($I$23)*SIN($I$24)</f>
        <v>0.89798847693723094</v>
      </c>
      <c r="E70">
        <f>COS($I$23)</f>
        <v>-0.44001897149371932</v>
      </c>
      <c r="G70" s="6" t="s">
        <v>66</v>
      </c>
      <c r="H70">
        <f t="shared" ref="H70:H75" si="14">SQRT(POWER(C70,2)+POWER(D70,2)+POWER(E70,2))</f>
        <v>1</v>
      </c>
      <c r="I70" s="6"/>
      <c r="J70">
        <f>ACOS((C70*C71+D70*D71+E70*E71)/(SQRT(C70^2+D70^2+E70^2)*SQRT(C71^2+D71^2+E71^2)))</f>
        <v>1.7819354932935114</v>
      </c>
      <c r="K70">
        <f t="shared" ref="K70:K75" si="15">DEGREES(J70)</f>
        <v>102.09738313028062</v>
      </c>
      <c r="L70" t="s">
        <v>80</v>
      </c>
    </row>
    <row r="71" spans="1:15" x14ac:dyDescent="0.25">
      <c r="B71" s="7" t="str">
        <f t="shared" si="13"/>
        <v>P2*</v>
      </c>
      <c r="C71">
        <f>C80*C70+D80*D70+E80*E70</f>
        <v>0.77767865362672017</v>
      </c>
      <c r="D71">
        <f>C81*C70+D81*D70+E81*E70</f>
        <v>-0.44899684155776426</v>
      </c>
      <c r="E71">
        <f>C82*C70+D82*D70+E82*E70</f>
        <v>-0.44002016767925911</v>
      </c>
      <c r="G71" s="6" t="s">
        <v>67</v>
      </c>
      <c r="H71">
        <f t="shared" si="14"/>
        <v>0.99999999999999978</v>
      </c>
      <c r="J71">
        <f>ACOS((C71*C72+D71*D72+E71*E72)/(SQRT(C71^2+D71^2+E71^2)*SQRT(C72^2+D72^2+E72^2)))</f>
        <v>1.7819354932935114</v>
      </c>
      <c r="K71">
        <f t="shared" si="15"/>
        <v>102.09738313028062</v>
      </c>
      <c r="L71" t="s">
        <v>81</v>
      </c>
    </row>
    <row r="72" spans="1:15" x14ac:dyDescent="0.25">
      <c r="B72" s="7" t="str">
        <f t="shared" si="13"/>
        <v>P3*</v>
      </c>
      <c r="C72">
        <f>C80*C71+D80*D71+E80*E71</f>
        <v>-0.77768233622626326</v>
      </c>
      <c r="D72">
        <f>C81*C71+D81*D71+E81*E71</f>
        <v>-0.44899046310270047</v>
      </c>
      <c r="E72" s="11">
        <f>C82*C71+D82*D71+E82*E71</f>
        <v>-0.44002016767925906</v>
      </c>
      <c r="G72" s="6" t="s">
        <v>68</v>
      </c>
      <c r="H72">
        <f t="shared" si="14"/>
        <v>0.99999999999999978</v>
      </c>
      <c r="J72">
        <f>ACOS((C72*C70+D72*D70+E72*E70)/(SQRT(C72^2+D72^2+E72^2)*SQRT(C70^2+D70^2+E70^2)))</f>
        <v>1.7819354932935116</v>
      </c>
      <c r="K72">
        <f t="shared" si="15"/>
        <v>102.09738313028063</v>
      </c>
      <c r="L72" t="s">
        <v>89</v>
      </c>
    </row>
    <row r="73" spans="1:15" x14ac:dyDescent="0.25">
      <c r="B73" s="7" t="str">
        <f t="shared" si="13"/>
        <v>P4*</v>
      </c>
      <c r="C73">
        <f>SIN($I$23+I26)*COS($I$24)</f>
        <v>3.6826011457779218E-6</v>
      </c>
      <c r="D73">
        <f>SIN($I$23+I26)*SIN($I$24)</f>
        <v>0.89798769541938683</v>
      </c>
      <c r="E73">
        <f>COS($I$23+I26)</f>
        <v>0.44002056640777254</v>
      </c>
      <c r="G73" s="6" t="s">
        <v>69</v>
      </c>
      <c r="H73">
        <f t="shared" si="14"/>
        <v>1</v>
      </c>
      <c r="J73">
        <f>ACOS((C73*C74+D73*D74+E73*E74)/(SQRT(C73^2+D73^2+E73^2)*SQRT(C74^2+D74^2+E74^2)))</f>
        <v>1.7819354932935112</v>
      </c>
      <c r="K73">
        <f t="shared" si="15"/>
        <v>102.0973831302806</v>
      </c>
      <c r="L73" t="s">
        <v>90</v>
      </c>
    </row>
    <row r="74" spans="1:15" x14ac:dyDescent="0.25">
      <c r="B74" s="7" t="str">
        <f t="shared" si="13"/>
        <v>P5*</v>
      </c>
      <c r="C74">
        <f>C80*C73+D80*D73+E80*E73</f>
        <v>0.77767865362351529</v>
      </c>
      <c r="D74">
        <f>C73*C81+D81*D73+E81*E73</f>
        <v>-0.44899762307560831</v>
      </c>
      <c r="E74">
        <f>C82*C73+D82*D73+E82*E73</f>
        <v>0.44001937022223264</v>
      </c>
      <c r="G74" s="6" t="s">
        <v>70</v>
      </c>
      <c r="H74">
        <f t="shared" si="14"/>
        <v>0.99999999999999989</v>
      </c>
      <c r="J74">
        <f>ACOS((C74*C75+D74*D75+E74*E75)/(SQRT(C74^2+D74^2+E74^2)*SQRT(C75^2+D75^2+E75^2)))</f>
        <v>1.7819354932935112</v>
      </c>
      <c r="K74">
        <f t="shared" si="15"/>
        <v>102.0973831302806</v>
      </c>
      <c r="L74" t="s">
        <v>91</v>
      </c>
    </row>
    <row r="75" spans="1:15" x14ac:dyDescent="0.25">
      <c r="B75" s="7" t="str">
        <f t="shared" si="13"/>
        <v>P6*</v>
      </c>
      <c r="C75">
        <f>C80*C74+D80*D74+E80*E74</f>
        <v>-0.77768233622946814</v>
      </c>
      <c r="D75">
        <f>C81*C74+D81*D74+E81*E74</f>
        <v>-0.44899124462054479</v>
      </c>
      <c r="E75">
        <f>C82*C74+D82*D74+E82*E74</f>
        <v>0.44001937022223259</v>
      </c>
      <c r="G75" s="6" t="s">
        <v>71</v>
      </c>
      <c r="H75">
        <f t="shared" si="14"/>
        <v>0.99999999999999978</v>
      </c>
      <c r="J75">
        <f>ACOS((C75*C70+D75*D70+E75*E70)/(SQRT(C75^2+D75^2+E75^2)*SQRT(C70^2+D70^2+E70^2)))</f>
        <v>2.2103142478839608</v>
      </c>
      <c r="K75">
        <f t="shared" si="15"/>
        <v>126.64167780138381</v>
      </c>
      <c r="L75" t="s">
        <v>92</v>
      </c>
    </row>
    <row r="76" spans="1:15" x14ac:dyDescent="0.25">
      <c r="B76" s="7"/>
      <c r="G76" s="6"/>
    </row>
    <row r="77" spans="1:15" x14ac:dyDescent="0.25">
      <c r="A77" s="68" t="s">
        <v>186</v>
      </c>
      <c r="B77" s="7" t="s">
        <v>187</v>
      </c>
      <c r="C77">
        <f>SIN($I$23-(PI()-I26)/2)*COS($I$24)</f>
        <v>3.6418412636515332E-12</v>
      </c>
      <c r="D77">
        <f>SIN($I$23-((PI()-I26)/2))*SIN($I$24)</f>
        <v>8.8804855969240071E-7</v>
      </c>
      <c r="E77">
        <f>COS($I$23-((PI()-I26)/2))</f>
        <v>-0.99999999999960565</v>
      </c>
      <c r="G77" s="6"/>
      <c r="O77" s="6"/>
    </row>
    <row r="78" spans="1:15" x14ac:dyDescent="0.25">
      <c r="A78" s="68"/>
      <c r="B78" s="7"/>
      <c r="G78" s="6"/>
    </row>
    <row r="79" spans="1:15" x14ac:dyDescent="0.25">
      <c r="B79" s="7"/>
      <c r="G79" s="6"/>
    </row>
    <row r="80" spans="1:15" x14ac:dyDescent="0.25">
      <c r="A80" s="67" t="s">
        <v>180</v>
      </c>
      <c r="C80">
        <f>(C77^2)*(1-COS(G81))+COS(G81)</f>
        <v>-0.49999999999999978</v>
      </c>
      <c r="D80">
        <f>C77*D77*(1-COS(G81))-E77*SIN(G81)</f>
        <v>0.8660254037840972</v>
      </c>
      <c r="E80">
        <f>C77*E77*(1-COS(G81))+D77*SIN(G81)</f>
        <v>7.6906714972590504E-7</v>
      </c>
      <c r="G80" s="6" t="s">
        <v>189</v>
      </c>
      <c r="H80" t="s">
        <v>188</v>
      </c>
    </row>
    <row r="81" spans="1:12" x14ac:dyDescent="0.25">
      <c r="A81" s="68"/>
      <c r="B81" t="s">
        <v>313</v>
      </c>
      <c r="C81">
        <f>D77*C77*(1-COS(G81))+E77*SIN(G81)</f>
        <v>-0.8660254037840972</v>
      </c>
      <c r="D81">
        <f>(D77^2)*(1-COS(G81))+COS(G81)</f>
        <v>-0.49999999999881684</v>
      </c>
      <c r="E81">
        <f>D77*E77*(1-COS(G81))-C77*SIN(G81)</f>
        <v>-1.3320759934651263E-6</v>
      </c>
      <c r="G81" s="6">
        <f>RADIANS(H81)</f>
        <v>2.0943951023931953</v>
      </c>
      <c r="H81">
        <v>120</v>
      </c>
    </row>
    <row r="82" spans="1:12" x14ac:dyDescent="0.25">
      <c r="C82">
        <f>E77*C77*(1-COS(G81))-D77*SIN(G81)</f>
        <v>-7.6907807524969595E-7</v>
      </c>
      <c r="D82">
        <f>D77*E77*(1-COS(G81))+C77*SIN(G81)</f>
        <v>-1.3320696856110248E-6</v>
      </c>
      <c r="E82">
        <f>(E77^2)*(1-COS(G81))+COS(G81)</f>
        <v>0.99999999999881695</v>
      </c>
      <c r="G82" s="6"/>
    </row>
    <row r="84" spans="1:12" x14ac:dyDescent="0.25">
      <c r="A84" s="12" t="s">
        <v>86</v>
      </c>
      <c r="B84" s="7" t="s">
        <v>73</v>
      </c>
      <c r="C84">
        <f t="shared" ref="C84:E89" si="16">C70-C62</f>
        <v>3.6826043506866655E-6</v>
      </c>
      <c r="D84">
        <f t="shared" si="16"/>
        <v>-1.2445394276916488E-5</v>
      </c>
      <c r="E84">
        <f t="shared" si="16"/>
        <v>1.480448719504146E-6</v>
      </c>
      <c r="G84" s="6" t="s">
        <v>78</v>
      </c>
      <c r="H84">
        <f t="shared" ref="H84:H89" si="17">SQRT(POWER(C84,2)+POWER(D84,2)+POWER(E84,2))</f>
        <v>1.3062968342711527E-5</v>
      </c>
    </row>
    <row r="85" spans="1:12" x14ac:dyDescent="0.25">
      <c r="B85" s="7" t="s">
        <v>74</v>
      </c>
      <c r="C85">
        <f t="shared" si="16"/>
        <v>9.8548876344972669E-6</v>
      </c>
      <c r="D85">
        <f t="shared" si="16"/>
        <v>3.6196079896688715E-6</v>
      </c>
      <c r="E85">
        <f t="shared" si="16"/>
        <v>2.8426317971730342E-7</v>
      </c>
      <c r="G85" s="6" t="s">
        <v>78</v>
      </c>
      <c r="H85">
        <f t="shared" si="17"/>
        <v>1.0502436757380872E-5</v>
      </c>
    </row>
    <row r="86" spans="1:12" x14ac:dyDescent="0.25">
      <c r="B86" s="7" t="s">
        <v>75</v>
      </c>
      <c r="C86">
        <f t="shared" si="16"/>
        <v>-1.3537487177583962E-5</v>
      </c>
      <c r="D86">
        <f t="shared" si="16"/>
        <v>9.9980630534624026E-6</v>
      </c>
      <c r="E86">
        <f t="shared" si="16"/>
        <v>2.8426317977281457E-7</v>
      </c>
      <c r="G86" s="6" t="s">
        <v>78</v>
      </c>
      <c r="H86">
        <f t="shared" si="17"/>
        <v>1.6831685282812137E-5</v>
      </c>
    </row>
    <row r="87" spans="1:12" x14ac:dyDescent="0.25">
      <c r="B87" s="7" t="s">
        <v>76</v>
      </c>
      <c r="C87">
        <f t="shared" si="16"/>
        <v>3.6826011456684533E-6</v>
      </c>
      <c r="D87">
        <f t="shared" si="16"/>
        <v>-1.3226912121022671E-5</v>
      </c>
      <c r="E87">
        <f t="shared" si="16"/>
        <v>1.1446533371151091E-7</v>
      </c>
      <c r="G87" s="6" t="s">
        <v>78</v>
      </c>
      <c r="H87">
        <f t="shared" si="17"/>
        <v>1.37304718698214E-5</v>
      </c>
    </row>
    <row r="88" spans="1:12" x14ac:dyDescent="0.25">
      <c r="B88" s="7" t="s">
        <v>77</v>
      </c>
      <c r="C88">
        <f t="shared" si="16"/>
        <v>9.8548844296164617E-6</v>
      </c>
      <c r="D88">
        <f t="shared" si="16"/>
        <v>2.8380901455626883E-6</v>
      </c>
      <c r="E88">
        <f t="shared" si="16"/>
        <v>-1.081720206186354E-6</v>
      </c>
      <c r="G88" s="6" t="s">
        <v>78</v>
      </c>
      <c r="H88">
        <f t="shared" si="17"/>
        <v>1.0312304369049086E-5</v>
      </c>
    </row>
    <row r="89" spans="1:12" x14ac:dyDescent="0.25">
      <c r="B89" s="7" t="s">
        <v>103</v>
      </c>
      <c r="C89">
        <f t="shared" si="16"/>
        <v>-1.3537490382464767E-5</v>
      </c>
      <c r="D89">
        <f t="shared" si="16"/>
        <v>9.2165452090786637E-6</v>
      </c>
      <c r="E89">
        <f t="shared" si="16"/>
        <v>-1.0817202062418652E-6</v>
      </c>
      <c r="G89" s="6" t="s">
        <v>78</v>
      </c>
      <c r="H89">
        <f t="shared" si="17"/>
        <v>1.6412753274539554E-5</v>
      </c>
    </row>
    <row r="92" spans="1:12" x14ac:dyDescent="0.25">
      <c r="A92" s="67" t="s">
        <v>162</v>
      </c>
      <c r="C92">
        <f>(C70^2)*(1-COS($I$25))+COS($I$25)</f>
        <v>0.9999999999673238</v>
      </c>
      <c r="D92">
        <f>C70*D70*(1-COS($I$25))-E70*SIN($I$25)</f>
        <v>-3.5571493870004056E-6</v>
      </c>
      <c r="E92">
        <f>C70*E70*(1-COS($I$25))+D70*SIN($I$25)</f>
        <v>-7.2594123602159877E-6</v>
      </c>
    </row>
    <row r="93" spans="1:12" x14ac:dyDescent="0.25">
      <c r="A93" s="68"/>
      <c r="B93" t="s">
        <v>237</v>
      </c>
      <c r="C93">
        <f>D70*C70*(1-COS($I$25))+E70*SIN($I$25)</f>
        <v>3.5571493872165218E-6</v>
      </c>
      <c r="D93">
        <f>(D70^2)*(1-COS($I$25))+COS($I$25)</f>
        <v>0.99999999999367339</v>
      </c>
      <c r="E93">
        <f>D70*E70*(1-COS($I$25))-C70*SIN($I$25)</f>
        <v>1.6859065837063951E-11</v>
      </c>
    </row>
    <row r="94" spans="1:12" x14ac:dyDescent="0.25">
      <c r="C94">
        <f>E70*C70*(1-COS($I$25))-D70*SIN($I$25)</f>
        <v>7.25941236011009E-6</v>
      </c>
      <c r="D94">
        <f>D70*E70*(1-COS($I$25))+C70*SIN($I$25)</f>
        <v>-4.268188424850592E-11</v>
      </c>
      <c r="E94">
        <f>(E70^2)*(1-COS($I$25))+COS($I$25)</f>
        <v>0.99999999997365041</v>
      </c>
    </row>
    <row r="95" spans="1:12" x14ac:dyDescent="0.25">
      <c r="J95" t="s">
        <v>87</v>
      </c>
      <c r="K95" t="s">
        <v>88</v>
      </c>
    </row>
    <row r="96" spans="1:12" x14ac:dyDescent="0.25">
      <c r="A96" s="19" t="s">
        <v>340</v>
      </c>
      <c r="B96" t="str">
        <f t="shared" ref="B96:B101" si="18">B70</f>
        <v>P1*</v>
      </c>
      <c r="C96">
        <f t="shared" ref="C96:H96" si="19">C70</f>
        <v>3.6826043507422249E-6</v>
      </c>
      <c r="D96">
        <f t="shared" si="19"/>
        <v>0.89798847693723094</v>
      </c>
      <c r="E96">
        <f t="shared" si="19"/>
        <v>-0.44001897149371932</v>
      </c>
      <c r="G96" t="str">
        <f t="shared" si="19"/>
        <v>length of vector P0*</v>
      </c>
      <c r="H96">
        <f t="shared" si="19"/>
        <v>1</v>
      </c>
      <c r="J96">
        <f>ACOS((C96*C97+D96*D97+E96*E97)/(SQRT(C96^2+D96^2+E96^2)*SQRT(C97^2+D97^2+E97^2)))</f>
        <v>1.7819354932935114</v>
      </c>
      <c r="K96">
        <f t="shared" ref="K96:K101" si="20">DEGREES(J96)</f>
        <v>102.09738313028062</v>
      </c>
      <c r="L96" t="s">
        <v>80</v>
      </c>
    </row>
    <row r="97" spans="1:12" x14ac:dyDescent="0.25">
      <c r="B97" t="str">
        <f t="shared" si="18"/>
        <v>P2*</v>
      </c>
      <c r="C97">
        <f>C71*$C$92+D71*$D$92+E71*$E$92</f>
        <v>0.77768344503799236</v>
      </c>
      <c r="D97">
        <f>C71*$C$93+D71*$D$93+E71*$E$93</f>
        <v>-0.44899407524319579</v>
      </c>
      <c r="E97">
        <f>C71*$C$94+D71*$D$94+E71*$E$94</f>
        <v>-0.44001452215847042</v>
      </c>
      <c r="G97" s="6" t="s">
        <v>67</v>
      </c>
      <c r="H97">
        <f>SQRT(POWER(C97,2)+POWER(D97,2)+POWER(E97,2))</f>
        <v>0.99999999999999978</v>
      </c>
      <c r="J97">
        <f>ACOS((C97*C98+D97*D98+E97*E98)/(SQRT(C97^2+D97^2+E97^2)*SQRT(C98^2+D98^2+E98^2)))</f>
        <v>1.7819354932935114</v>
      </c>
      <c r="K97">
        <f t="shared" si="20"/>
        <v>102.09738313028062</v>
      </c>
      <c r="L97" t="s">
        <v>81</v>
      </c>
    </row>
    <row r="98" spans="1:12" x14ac:dyDescent="0.25">
      <c r="B98" t="str">
        <f t="shared" si="18"/>
        <v>P3*</v>
      </c>
      <c r="C98">
        <f>C72*$C$92+D72*$D$92+E72*$E$92</f>
        <v>-0.77767754478685702</v>
      </c>
      <c r="D98">
        <f>C72*$C$93+D72*$D$93+E72*$E$93</f>
        <v>-0.44899322943952402</v>
      </c>
      <c r="E98">
        <f>C72*$C$94+D72*$D$94+E72*$E$94</f>
        <v>-0.44002581316526479</v>
      </c>
      <c r="G98" s="6" t="s">
        <v>68</v>
      </c>
      <c r="H98">
        <f>SQRT(POWER(C98,2)+POWER(D98,2)+POWER(E98,2))</f>
        <v>0.99999999999999978</v>
      </c>
      <c r="J98">
        <f>ACOS((C98*C99+D98*D99+E98*E99)/(SQRT(C98^2+D98^2+E98^2)*SQRT(C99^2+D99^2+E99^2)))</f>
        <v>2.2103142478839608</v>
      </c>
      <c r="K98">
        <f t="shared" si="20"/>
        <v>126.64167780138381</v>
      </c>
      <c r="L98" t="s">
        <v>89</v>
      </c>
    </row>
    <row r="99" spans="1:12" ht="15" customHeight="1" x14ac:dyDescent="0.25">
      <c r="B99" t="str">
        <f t="shared" si="18"/>
        <v>P4*</v>
      </c>
      <c r="C99">
        <f>C73*$C$92+D73*$D$92+E73*$E$92</f>
        <v>-2.7059659731672142E-6</v>
      </c>
      <c r="D99">
        <f>C73*$C$93+D73*$D$93+E73*$E$93</f>
        <v>0.89798769543422341</v>
      </c>
      <c r="E99">
        <f>C73*$C$94+D73*$D$94+E73*$E$94</f>
        <v>0.44002056638458392</v>
      </c>
      <c r="G99" s="6" t="s">
        <v>69</v>
      </c>
      <c r="H99">
        <f>SQRT(POWER(C99,2)+POWER(D99,2)+POWER(E99,2))</f>
        <v>1</v>
      </c>
      <c r="J99">
        <f>ACOS((C99*C100+D99*D100+E99*E100)/(SQRT(C99^2+D99^2+E99^2)*SQRT(C100^2+D100^2+E100^2)))</f>
        <v>1.7819354932935112</v>
      </c>
      <c r="K99">
        <f>DEGREES(J99)</f>
        <v>102.0973831302806</v>
      </c>
      <c r="L99" t="s">
        <v>90</v>
      </c>
    </row>
    <row r="100" spans="1:12" ht="15" customHeight="1" x14ac:dyDescent="0.25">
      <c r="B100" t="str">
        <f t="shared" si="18"/>
        <v>P5*</v>
      </c>
      <c r="C100">
        <f>C74*$C$92+D74*$D$92+E74*$E$92</f>
        <v>0.77767705646766849</v>
      </c>
      <c r="D100">
        <f>C74*$C$93+D74*$D$93+E74*$E$93</f>
        <v>-0.44899485674620321</v>
      </c>
      <c r="E100">
        <f>C74*$C$94+D74*$D$94+E74*$E$94</f>
        <v>0.44002501571983266</v>
      </c>
      <c r="G100" s="6" t="s">
        <v>70</v>
      </c>
      <c r="H100">
        <f>SQRT(POWER(C100,2)+POWER(D100,2)+POWER(E100,2))</f>
        <v>0.99999999999999989</v>
      </c>
      <c r="J100">
        <f>ACOS((C100*C101+D100*D101+E100*E101)/(SQRT(C100^2+D100^2+E100^2)*SQRT(C101^2+D101^2+E101^2)))</f>
        <v>1.7819354932935112</v>
      </c>
      <c r="K100">
        <f t="shared" si="20"/>
        <v>102.0973831302806</v>
      </c>
      <c r="L100" t="s">
        <v>91</v>
      </c>
    </row>
    <row r="101" spans="1:12" ht="15" customHeight="1" x14ac:dyDescent="0.25">
      <c r="B101" t="str">
        <f t="shared" si="18"/>
        <v>P6*</v>
      </c>
      <c r="C101">
        <f>C75*$C$92+D75*$D$92+E75*$E$92</f>
        <v>-0.77768393335718089</v>
      </c>
      <c r="D101">
        <f>C75*$C$93+D75*$D$93+E75*$E$93</f>
        <v>-0.44899401094253166</v>
      </c>
      <c r="E101">
        <f>C75*$C$94+D75*$D$94+E75*$E$94</f>
        <v>0.44001372471303818</v>
      </c>
      <c r="F101" s="7"/>
      <c r="G101" s="7" t="str">
        <f>G75</f>
        <v>length of vector P5*</v>
      </c>
      <c r="H101">
        <f>H75</f>
        <v>0.99999999999999978</v>
      </c>
      <c r="J101">
        <f>ACOS((C101*C96+D101*D96+E101*E96)/(SQRT(C101^2+D101^2+E101^2)*SQRT(C96^2+D96^2+E96^2)))</f>
        <v>2.2103142478839608</v>
      </c>
      <c r="K101">
        <f t="shared" si="20"/>
        <v>126.64167780138381</v>
      </c>
      <c r="L101" t="s">
        <v>92</v>
      </c>
    </row>
    <row r="102" spans="1:12" ht="15" customHeight="1" x14ac:dyDescent="0.25">
      <c r="B102" s="7"/>
      <c r="C102" s="7"/>
      <c r="D102" s="7"/>
      <c r="E102" s="7"/>
      <c r="G102" s="6"/>
    </row>
    <row r="103" spans="1:12" ht="15" customHeight="1" x14ac:dyDescent="0.25">
      <c r="A103" s="12" t="s">
        <v>72</v>
      </c>
      <c r="B103" t="str">
        <f>B84</f>
        <v>P1*-P1</v>
      </c>
      <c r="C103">
        <f>C84</f>
        <v>3.6826043506866655E-6</v>
      </c>
      <c r="D103">
        <f>D84</f>
        <v>-1.2445394276916488E-5</v>
      </c>
      <c r="E103">
        <f>E84</f>
        <v>1.480448719504146E-6</v>
      </c>
      <c r="G103" s="6" t="s">
        <v>78</v>
      </c>
      <c r="H103">
        <f t="shared" ref="H103:H108" si="21">SQRT(POWER(C103,2)+POWER(D103,2)+POWER(E103,2))</f>
        <v>1.3062968342711527E-5</v>
      </c>
    </row>
    <row r="104" spans="1:12" x14ac:dyDescent="0.25">
      <c r="B104" t="str">
        <f>B85</f>
        <v>P2*-P2</v>
      </c>
      <c r="C104">
        <f t="shared" ref="C104:E108" si="22">C97-C63</f>
        <v>1.464629890668423E-5</v>
      </c>
      <c r="D104">
        <f t="shared" si="22"/>
        <v>6.3859225581386347E-6</v>
      </c>
      <c r="E104">
        <f t="shared" si="22"/>
        <v>5.9297839684058218E-6</v>
      </c>
      <c r="G104" s="6" t="s">
        <v>78</v>
      </c>
      <c r="H104">
        <f t="shared" si="21"/>
        <v>1.7042781947042751E-5</v>
      </c>
    </row>
    <row r="105" spans="1:12" x14ac:dyDescent="0.25">
      <c r="B105" t="str">
        <f>B86</f>
        <v>P3*-P3</v>
      </c>
      <c r="C105">
        <f t="shared" si="22"/>
        <v>-8.7460477713463547E-6</v>
      </c>
      <c r="D105">
        <f t="shared" si="22"/>
        <v>7.231726229905977E-6</v>
      </c>
      <c r="E105">
        <f t="shared" si="22"/>
        <v>-5.3612228259614092E-6</v>
      </c>
      <c r="G105" s="6" t="s">
        <v>78</v>
      </c>
      <c r="H105">
        <f t="shared" si="21"/>
        <v>1.2551251972317035E-5</v>
      </c>
    </row>
    <row r="106" spans="1:12" x14ac:dyDescent="0.25">
      <c r="B106" t="str">
        <f>B87</f>
        <v>P4*-P4</v>
      </c>
      <c r="C106">
        <f t="shared" si="22"/>
        <v>-2.7059659732766826E-6</v>
      </c>
      <c r="D106">
        <f t="shared" si="22"/>
        <v>-1.322689728444626E-5</v>
      </c>
      <c r="E106">
        <f t="shared" si="22"/>
        <v>1.1444214509381823E-7</v>
      </c>
      <c r="G106" s="6" t="s">
        <v>78</v>
      </c>
      <c r="H106">
        <f t="shared" si="21"/>
        <v>1.3501339216033228E-5</v>
      </c>
    </row>
    <row r="107" spans="1:12" x14ac:dyDescent="0.25">
      <c r="B107" t="str">
        <f>B88</f>
        <v>P5*-P5</v>
      </c>
      <c r="C107">
        <f t="shared" si="22"/>
        <v>8.2577285828167035E-6</v>
      </c>
      <c r="D107">
        <f t="shared" si="22"/>
        <v>5.6044195506643746E-6</v>
      </c>
      <c r="E107">
        <f t="shared" si="22"/>
        <v>4.5637773938289605E-6</v>
      </c>
      <c r="G107" s="6" t="s">
        <v>78</v>
      </c>
      <c r="H107">
        <f t="shared" si="21"/>
        <v>1.0973953888538136E-5</v>
      </c>
    </row>
    <row r="108" spans="1:12" x14ac:dyDescent="0.25">
      <c r="B108" t="str">
        <f>B89</f>
        <v>P6*-P6</v>
      </c>
      <c r="C108">
        <f t="shared" si="22"/>
        <v>-1.5134618095213881E-5</v>
      </c>
      <c r="D108">
        <f t="shared" si="22"/>
        <v>6.4502232222096723E-6</v>
      </c>
      <c r="E108">
        <f t="shared" si="22"/>
        <v>-6.7272294006492928E-6</v>
      </c>
      <c r="G108" s="6" t="s">
        <v>78</v>
      </c>
      <c r="H108">
        <f t="shared" si="21"/>
        <v>1.7774072687858251E-5</v>
      </c>
    </row>
    <row r="109" spans="1:12" x14ac:dyDescent="0.25">
      <c r="B109" s="7"/>
      <c r="G109" s="6"/>
    </row>
    <row r="110" spans="1:12" x14ac:dyDescent="0.25">
      <c r="A110" s="19" t="s">
        <v>319</v>
      </c>
      <c r="B110" s="7" t="s">
        <v>204</v>
      </c>
      <c r="C110">
        <v>0</v>
      </c>
      <c r="D110">
        <v>0</v>
      </c>
      <c r="E110">
        <v>0</v>
      </c>
    </row>
    <row r="111" spans="1:12" x14ac:dyDescent="0.25">
      <c r="B111" t="str">
        <f t="shared" ref="B111:B116" si="23">B96</f>
        <v>P1*</v>
      </c>
      <c r="C111">
        <f t="shared" ref="C111:E116" si="24">C96*$K$55</f>
        <v>4.1008915015153485E-4</v>
      </c>
      <c r="D111">
        <f t="shared" si="24"/>
        <v>99.998614100056315</v>
      </c>
      <c r="E111">
        <f t="shared" si="24"/>
        <v>-48.999835139510139</v>
      </c>
      <c r="F111" t="s">
        <v>372</v>
      </c>
      <c r="G111">
        <f>C120-C119</f>
        <v>86.601220900144227</v>
      </c>
      <c r="H111">
        <f>D120-D119</f>
        <v>-149.99790297355307</v>
      </c>
      <c r="I111">
        <f>E120-E119</f>
        <v>4.9547112238457203E-4</v>
      </c>
      <c r="J111" s="54" t="s">
        <v>67</v>
      </c>
      <c r="K111">
        <f>SQRT(POWER(G111,2)+POWER(H111,2)+POWER(I111,2))</f>
        <v>173.20260494029677</v>
      </c>
    </row>
    <row r="112" spans="1:12" x14ac:dyDescent="0.25">
      <c r="B112" t="str">
        <f t="shared" si="23"/>
        <v>P2*</v>
      </c>
      <c r="C112">
        <f t="shared" si="24"/>
        <v>86.601630989294378</v>
      </c>
      <c r="D112">
        <f t="shared" si="24"/>
        <v>-49.999288873496752</v>
      </c>
      <c r="E112">
        <f t="shared" si="24"/>
        <v>-48.999339668387755</v>
      </c>
      <c r="F112" t="s">
        <v>373</v>
      </c>
      <c r="G112">
        <f>C122-C119</f>
        <v>-7.1142135437039355E-4</v>
      </c>
      <c r="H112">
        <f>D122-D119</f>
        <v>-8.7026971584691637E-5</v>
      </c>
      <c r="I112">
        <f>E122-E119</f>
        <v>97.99984788361121</v>
      </c>
      <c r="J112" s="54" t="s">
        <v>67</v>
      </c>
      <c r="K112">
        <f>SQRT(POWER(G112,2)+POWER(H112,2)+POWER(I112,2))</f>
        <v>97.999847886232104</v>
      </c>
    </row>
    <row r="113" spans="1:5" x14ac:dyDescent="0.25">
      <c r="B113" t="str">
        <f t="shared" si="23"/>
        <v>P3*</v>
      </c>
      <c r="C113">
        <f t="shared" si="24"/>
        <v>-86.60097394641295</v>
      </c>
      <c r="D113">
        <f t="shared" si="24"/>
        <v>-49.9991946861022</v>
      </c>
      <c r="E113">
        <f t="shared" si="24"/>
        <v>-49.000597017518871</v>
      </c>
    </row>
    <row r="114" spans="1:5" x14ac:dyDescent="0.25">
      <c r="B114" t="str">
        <f t="shared" si="23"/>
        <v>P4*</v>
      </c>
      <c r="C114">
        <f t="shared" si="24"/>
        <v>-3.0133220421885875E-4</v>
      </c>
      <c r="D114">
        <f t="shared" si="24"/>
        <v>99.99852707308473</v>
      </c>
      <c r="E114">
        <f t="shared" si="24"/>
        <v>49.000012744101063</v>
      </c>
    </row>
    <row r="115" spans="1:5" x14ac:dyDescent="0.25">
      <c r="B115" t="str">
        <f t="shared" si="23"/>
        <v>P5*</v>
      </c>
      <c r="C115">
        <f t="shared" si="24"/>
        <v>86.600919567940011</v>
      </c>
      <c r="D115">
        <f t="shared" si="24"/>
        <v>-49.999375900468323</v>
      </c>
      <c r="E115">
        <f t="shared" si="24"/>
        <v>49.000508215223427</v>
      </c>
    </row>
    <row r="116" spans="1:5" x14ac:dyDescent="0.25">
      <c r="B116" t="str">
        <f t="shared" si="23"/>
        <v>P6*</v>
      </c>
      <c r="C116">
        <f t="shared" si="24"/>
        <v>-86.601685367767317</v>
      </c>
      <c r="D116">
        <f t="shared" si="24"/>
        <v>-49.999281713073799</v>
      </c>
      <c r="E116">
        <f t="shared" si="24"/>
        <v>48.999250866092297</v>
      </c>
    </row>
    <row r="118" spans="1:5" x14ac:dyDescent="0.25">
      <c r="A118" s="19" t="s">
        <v>320</v>
      </c>
      <c r="B118" t="s">
        <v>204</v>
      </c>
      <c r="C118">
        <f>C110+$C$51</f>
        <v>0</v>
      </c>
      <c r="D118">
        <f>D110+$D$51</f>
        <v>0</v>
      </c>
      <c r="E118">
        <f>E110+$E$51</f>
        <v>50</v>
      </c>
    </row>
    <row r="119" spans="1:5" x14ac:dyDescent="0.25">
      <c r="B119" t="str">
        <f t="shared" ref="B119:B124" si="25">B111</f>
        <v>P1*</v>
      </c>
      <c r="C119">
        <f t="shared" ref="C119:C124" si="26">C111+$C$51</f>
        <v>4.1008915015153485E-4</v>
      </c>
      <c r="D119">
        <f t="shared" ref="D119:D124" si="27">D111+$D$51</f>
        <v>99.998614100056315</v>
      </c>
      <c r="E119">
        <f t="shared" ref="E119:E124" si="28">E111+$E$51</f>
        <v>1.0001648604898605</v>
      </c>
    </row>
    <row r="120" spans="1:5" x14ac:dyDescent="0.25">
      <c r="B120" t="str">
        <f t="shared" si="25"/>
        <v>P2*</v>
      </c>
      <c r="C120">
        <f t="shared" si="26"/>
        <v>86.601630989294378</v>
      </c>
      <c r="D120">
        <f t="shared" si="27"/>
        <v>-49.999288873496752</v>
      </c>
      <c r="E120">
        <f t="shared" si="28"/>
        <v>1.0006603316122451</v>
      </c>
    </row>
    <row r="121" spans="1:5" x14ac:dyDescent="0.25">
      <c r="B121" t="str">
        <f t="shared" si="25"/>
        <v>P3*</v>
      </c>
      <c r="C121">
        <f t="shared" si="26"/>
        <v>-86.60097394641295</v>
      </c>
      <c r="D121">
        <f t="shared" si="27"/>
        <v>-49.9991946861022</v>
      </c>
      <c r="E121">
        <f t="shared" si="28"/>
        <v>0.99940298248112924</v>
      </c>
    </row>
    <row r="122" spans="1:5" x14ac:dyDescent="0.25">
      <c r="B122" t="str">
        <f t="shared" si="25"/>
        <v>P4*</v>
      </c>
      <c r="C122">
        <f t="shared" si="26"/>
        <v>-3.0133220421885875E-4</v>
      </c>
      <c r="D122">
        <f t="shared" si="27"/>
        <v>99.99852707308473</v>
      </c>
      <c r="E122">
        <f t="shared" si="28"/>
        <v>99.00001274410107</v>
      </c>
    </row>
    <row r="123" spans="1:5" x14ac:dyDescent="0.25">
      <c r="B123" t="str">
        <f t="shared" si="25"/>
        <v>P5*</v>
      </c>
      <c r="C123">
        <f t="shared" si="26"/>
        <v>86.600919567940011</v>
      </c>
      <c r="D123">
        <f t="shared" si="27"/>
        <v>-49.999375900468323</v>
      </c>
      <c r="E123">
        <f t="shared" si="28"/>
        <v>99.000508215223419</v>
      </c>
    </row>
    <row r="124" spans="1:5" x14ac:dyDescent="0.25">
      <c r="B124" t="str">
        <f t="shared" si="25"/>
        <v>P6*</v>
      </c>
      <c r="C124">
        <f t="shared" si="26"/>
        <v>-86.601685367767317</v>
      </c>
      <c r="D124">
        <f t="shared" si="27"/>
        <v>-49.999281713073799</v>
      </c>
      <c r="E124">
        <f t="shared" si="28"/>
        <v>98.999250866092297</v>
      </c>
    </row>
  </sheetData>
  <mergeCells count="22">
    <mergeCell ref="A92:A93"/>
    <mergeCell ref="A77:A78"/>
    <mergeCell ref="A80:A81"/>
    <mergeCell ref="A43:A44"/>
    <mergeCell ref="G43:H43"/>
    <mergeCell ref="G47:H47"/>
    <mergeCell ref="B2:D2"/>
    <mergeCell ref="F3:G5"/>
    <mergeCell ref="E38:F38"/>
    <mergeCell ref="E39:F39"/>
    <mergeCell ref="E8:H8"/>
    <mergeCell ref="B8:D8"/>
    <mergeCell ref="D19:F19"/>
    <mergeCell ref="H20:J21"/>
    <mergeCell ref="D23:F23"/>
    <mergeCell ref="E35:F36"/>
    <mergeCell ref="A37:C38"/>
    <mergeCell ref="H37:J41"/>
    <mergeCell ref="E40:F40"/>
    <mergeCell ref="D27:F27"/>
    <mergeCell ref="G28:H28"/>
    <mergeCell ref="D31:F31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13</vt:i4>
      </vt:variant>
    </vt:vector>
  </HeadingPairs>
  <TitlesOfParts>
    <vt:vector size="13" baseType="lpstr">
      <vt:lpstr>INFO</vt:lpstr>
      <vt:lpstr>tetrahedron</vt:lpstr>
      <vt:lpstr>hexahedron</vt:lpstr>
      <vt:lpstr>octahedron</vt:lpstr>
      <vt:lpstr>icosahedron</vt:lpstr>
      <vt:lpstr>cuboctahedron</vt:lpstr>
      <vt:lpstr>dodecadeltahedron</vt:lpstr>
      <vt:lpstr>dodecadeltahedron2</vt:lpstr>
      <vt:lpstr>trig. prism</vt:lpstr>
      <vt:lpstr>trig. antiprism</vt:lpstr>
      <vt:lpstr>tetr. prism</vt:lpstr>
      <vt:lpstr>tetr. antiprism</vt:lpstr>
      <vt:lpstr>hex. prism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Dominik Stoiber</dc:creator>
  <cp:lastModifiedBy>Dominik Stoiber</cp:lastModifiedBy>
  <dcterms:created xsi:type="dcterms:W3CDTF">2017-07-10T10:23:53Z</dcterms:created>
  <dcterms:modified xsi:type="dcterms:W3CDTF">2018-07-05T10:27:07Z</dcterms:modified>
</cp:coreProperties>
</file>